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8_{721949E0-4043-B040-B98E-D04224670841}" xr6:coauthVersionLast="47" xr6:coauthVersionMax="47" xr10:uidLastSave="{00000000-0000-0000-0000-000000000000}"/>
  <bookViews>
    <workbookView xWindow="1840" yWindow="1840" windowWidth="12700" windowHeight="7640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5" i="4" l="1"/>
  <c r="F4" i="4" l="1"/>
  <c r="F36" i="3"/>
  <c r="F37" i="3"/>
  <c r="F35" i="3"/>
  <c r="F20" i="3"/>
  <c r="F19" i="3"/>
  <c r="F6" i="4" l="1"/>
  <c r="D42" i="4"/>
  <c r="D48" i="4" s="1"/>
  <c r="D51" i="4"/>
  <c r="D61" i="4"/>
  <c r="D60" i="4"/>
  <c r="D59" i="4"/>
  <c r="D55" i="4"/>
  <c r="D47" i="4"/>
  <c r="D54" i="4"/>
  <c r="D53" i="4"/>
  <c r="D52" i="4"/>
  <c r="D50" i="4"/>
  <c r="D63" i="4" s="1"/>
  <c r="D45" i="4" l="1"/>
  <c r="H88" i="3" l="1"/>
  <c r="H89" i="3" s="1"/>
  <c r="C88" i="3"/>
  <c r="C89" i="3" s="1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D46" i="2" s="1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G28" i="1" s="1"/>
  <c r="F96" i="3"/>
  <c r="F28" i="1" s="1"/>
  <c r="F84" i="3"/>
  <c r="I7" i="2" l="1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L54" i="2" s="1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M54" i="2" l="1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E88" i="3" l="1"/>
  <c r="E89" i="3" s="1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E87" i="3" s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<sst xmlns="http://schemas.openxmlformats.org/spreadsheetml/2006/main" count="350" uniqueCount="250">
  <si>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</si>
  <si>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</si>
  <si>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</si>
  <si>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</si>
  <si>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</si>
  <si>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</si>
  <si>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</si>
  <si>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</si>
  <si>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</si>
  <si>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</si>
  <si>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</si>
  <si>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</si>
  <si>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</si>
  <si>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</si>
  <si>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</si>
  <si>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</si>
  <si>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</si>
  <si>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</si>
  <si>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</si>
  <si>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</si>
  <si>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</si>
  <si>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</si>
  <si>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</si>
  <si>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</si>
  <si>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</si>
  <si>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</si>
  <si>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</si>
  <si>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</si>
  <si>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</si>
  <si>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</si>
  <si>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</si>
  <si>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</si>
  <si>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</si>
  <si>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</si>
  <si>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</si>
  <si>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</si>
  <si>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</si>
  <si>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</si>
  <si>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</si>
  <si>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</si>
  <si>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</si>
  <si>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</si>
  <si>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</si>
  <si>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</si>
  <si>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</si>
  <si>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</si>
  <si>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</si>
  <si>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</si>
  <si>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</si>
  <si>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</si>
  <si>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</si>
  <si>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</si>
  <si>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</si>
  <si>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</si>
  <si>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</si>
  <si>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</si>
  <si>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</si>
  <si>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</si>
  <si>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</si>
  <si>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</si>
  <si>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</si>
  <si>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</si>
  <si>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</si>
  <si>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</si>
  <si>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</si>
  <si>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</si>
  <si>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</si>
  <si>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</si>
  <si>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</si>
  <si>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</si>
  <si>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</si>
  <si>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</si>
  <si>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</si>
  <si>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</si>
  <si>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</si>
  <si>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</si>
  <si>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</si>
  <si>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</si>
  <si>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</si>
  <si>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</si>
  <si>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</si>
  <si>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</si>
  <si>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</si>
  <si>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</si>
  <si>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</si>
  <si>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</si>
  <si>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</si>
  <si>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</si>
  <si>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</si>
  <si>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</si>
  <si>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</si>
  <si>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</si>
  <si>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</si>
  <si>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</si>
  <si>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</si>
  <si>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</si>
  <si>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</si>
  <si>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</si>
  <si>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</si>
  <si>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</si>
  <si>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</si>
  <si>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</si>
  <si>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</si>
  <si>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</si>
  <si>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</si>
  <si>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</si>
  <si>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</si>
  <si>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</si>
  <si>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</si>
  <si>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</si>
  <si>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</si>
  <si>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</si>
  <si>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</si>
  <si>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</si>
  <si>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</si>
  <si>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</si>
  <si>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</si>
  <si>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</si>
  <si>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</si>
  <si>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</si>
  <si>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</si>
  <si>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</si>
  <si>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</si>
  <si>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</si>
  <si>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</si>
  <si>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</si>
  <si>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</si>
  <si>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</si>
  <si>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</si>
  <si>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</si>
  <si>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</si>
  <si>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</si>
  <si>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</si>
  <si>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</si>
  <si>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</si>
  <si>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</si>
  <si>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</si>
  <si>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</si>
  <si>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</si>
  <si>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</si>
  <si>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</si>
  <si>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</si>
  <si>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</si>
  <si>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</si>
  <si>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</si>
  <si>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</si>
  <si>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</si>
  <si>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</si>
  <si>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</si>
  <si>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</si>
  <si>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</si>
  <si>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</si>
  <si>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</si>
  <si>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</si>
  <si>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</si>
  <si>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</si>
  <si>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</si>
  <si>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</si>
  <si>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</si>
  <si>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</si>
  <si>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</si>
  <si>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</si>
  <si>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</si>
  <si>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</si>
  <si>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</si>
  <si>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</si>
  <si>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</si>
  <si>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</si>
  <si>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</si>
  <si>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</si>
  <si>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</si>
  <si>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</si>
  <si>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</si>
  <si>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</si>
  <si>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</si>
  <si>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</si>
  <si>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</si>
  <si>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</si>
  <si>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</si>
  <si>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</si>
  <si>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</si>
  <si>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</si>
  <si>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</si>
  <si>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</si>
  <si>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</si>
  <si>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</si>
  <si>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</si>
  <si>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</si>
  <si>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</si>
  <si>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</si>
  <si>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</si>
  <si>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</si>
  <si>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</si>
  <si>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</si>
  <si>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</si>
  <si>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</si>
  <si>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</si>
  <si>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</si>
  <si>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</si>
  <si>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</si>
  <si>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</si>
  <si>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</si>
  <si>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</si>
  <si>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</si>
  <si>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</si>
  <si>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</si>
  <si>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</si>
  <si>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</si>
  <si>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</si>
  <si>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</si>
  <si>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</si>
  <si>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</si>
  <si>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</si>
  <si>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</si>
  <si>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</si>
  <si>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</si>
  <si>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</si>
  <si>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</si>
  <si>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</si>
  <si>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</si>
  <si>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</si>
  <si>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</si>
  <si>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</si>
  <si>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</si>
  <si>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</si>
  <si>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</si>
  <si>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</si>
  <si>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</si>
  <si>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</si>
  <si>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</si>
  <si>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</si>
  <si>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</si>
  <si>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</si>
  <si>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</si>
  <si>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</si>
  <si>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</si>
  <si>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</si>
  <si>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</si>
  <si>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</si>
  <si>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</si>
  <si>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</si>
  <si>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</si>
  <si>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</si>
  <si>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</si>
  <si>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</si>
  <si>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D/P Dividend Yield</t>
    <phoneticPr fontId="20" type="noConversion"/>
  </si>
  <si>
    <t>0941.HK</t>
    <phoneticPr fontId="20" type="noConversion"/>
  </si>
  <si>
    <t>中国移动</t>
    <phoneticPr fontId="20" type="noConversion"/>
  </si>
  <si>
    <t>C0010</t>
    <phoneticPr fontId="20" type="noConversion"/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</si>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</sst>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&quot;$&quot;#,##0.00;[Red]\-&quot;$&quot;#,##0.00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2" formatCode="#,##0.00_ "/>
    <numFmt numFmtId="173" formatCode="#,##0.0000"/>
    <numFmt numFmtId="174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72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left"/>
    </xf>
    <xf numFmtId="172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67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73" fontId="6" fillId="0" borderId="3" xfId="0" applyNumberFormat="1" applyFont="1" applyBorder="1" applyAlignment="1">
      <alignment horizontal="right"/>
    </xf>
    <xf numFmtId="173" fontId="1" fillId="0" borderId="11" xfId="0" applyNumberFormat="1" applyFont="1" applyBorder="1" applyAlignment="1">
      <alignment horizontal="right"/>
    </xf>
    <xf numFmtId="173" fontId="2" fillId="0" borderId="4" xfId="0" applyNumberFormat="1" applyFont="1" applyBorder="1" applyAlignment="1">
      <alignment horizontal="right"/>
    </xf>
    <xf numFmtId="173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67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71" fontId="2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65" fontId="2" fillId="9" borderId="14" xfId="0" applyNumberFormat="1" applyFont="1" applyFill="1" applyBorder="1" applyAlignment="1">
      <alignment horizontal="right"/>
    </xf>
    <xf numFmtId="171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73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74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69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69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69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69" fontId="6" fillId="0" borderId="14" xfId="0" applyNumberFormat="1" applyFont="1" applyBorder="1" applyAlignment="1">
      <alignment horizontal="left"/>
    </xf>
    <xf numFmtId="173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9" borderId="14" xfId="0" applyFont="1" applyFill="1" applyBorder="1" applyAlignment="1">
      <alignment horizontal="righ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65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69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E6" sqref="E6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4.33203125" style="1" bestFit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87"/>
      <c r="C1" s="87"/>
      <c r="D1" s="87"/>
      <c r="E1" s="87"/>
      <c r="F1" s="87"/>
      <c r="G1" s="87"/>
      <c r="H1" s="87"/>
    </row>
    <row r="2" spans="1:10" ht="15.75" customHeight="1" x14ac:dyDescent="0.2">
      <c r="A2" s="5"/>
      <c r="B2" s="6" t="s">
        <v>0</v>
      </c>
      <c r="C2" s="25" t="str">
        <f>C3&amp;" : "&amp;C4</f>
        <v>0941.HK : 中国移动</v>
      </c>
      <c r="D2" s="87"/>
      <c r="E2" s="7"/>
      <c r="F2" s="7"/>
      <c r="G2" s="86"/>
      <c r="H2" s="86"/>
    </row>
    <row r="3" spans="1:10" ht="15.75" customHeight="1" x14ac:dyDescent="0.15">
      <c r="B3" s="3" t="s">
        <v>211</v>
      </c>
      <c r="C3" s="246" t="str">
        <f>Inputs!C4</f>
        <v>0941.HK</v>
      </c>
      <c r="D3" s="247"/>
      <c r="E3" s="87"/>
      <c r="F3" s="3" t="s">
        <v>1</v>
      </c>
      <c r="G3" s="133">
        <v>70.449996948242188</v>
      </c>
      <c r="H3" s="135" t="s">
        <v>2</v>
      </c>
    </row>
    <row r="4" spans="1:10" ht="15.75" customHeight="1" x14ac:dyDescent="0.15">
      <c r="B4" s="35" t="s">
        <v>212</v>
      </c>
      <c r="C4" s="248" t="str">
        <f>Inputs!C5</f>
        <v>中国移动</v>
      </c>
      <c r="D4" s="249"/>
      <c r="E4" s="87"/>
      <c r="F4" s="3" t="s">
        <v>3</v>
      </c>
      <c r="G4" s="252">
        <f>Inputs!C10</f>
        <v>21481669957</v>
      </c>
      <c r="H4" s="252"/>
      <c r="I4" s="39"/>
    </row>
    <row r="5" spans="1:10" ht="15.75" customHeight="1" x14ac:dyDescent="0.15">
      <c r="B5" s="3" t="s">
        <v>175</v>
      </c>
      <c r="C5" s="250">
        <f>Inputs!C6</f>
        <v>45603</v>
      </c>
      <c r="D5" s="251"/>
      <c r="E5" s="34"/>
      <c r="F5" s="35" t="s">
        <v>102</v>
      </c>
      <c r="G5" s="244">
        <f>G3*G4/1000000</f>
        <v>1513383.582913796</v>
      </c>
      <c r="H5" s="244"/>
      <c r="I5" s="38"/>
      <c r="J5" s="28"/>
    </row>
    <row r="6" spans="1:10" ht="15.75" customHeight="1" x14ac:dyDescent="0.15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5" t="str">
        <f>Inputs!C11</f>
        <v>CNY</v>
      </c>
      <c r="H6" s="245"/>
      <c r="I6" s="38"/>
    </row>
    <row r="7" spans="1:10" ht="15.75" customHeight="1" x14ac:dyDescent="0.15">
      <c r="B7" s="86" t="s">
        <v>209</v>
      </c>
      <c r="C7" s="194" t="str">
        <f>Inputs!C8</f>
        <v>Y</v>
      </c>
      <c r="D7" s="194" t="str">
        <f>Inputs!C9</f>
        <v>C0010</v>
      </c>
      <c r="E7" s="87"/>
      <c r="F7" s="35" t="s">
        <v>6</v>
      </c>
      <c r="G7" s="134">
        <v>1.074550986289978</v>
      </c>
      <c r="H7" s="71" t="str">
        <f>IF(G6=Dashboard!H3,H3,G6&amp;"/"&amp;Dashboard!H3)</f>
        <v>CNY/HKD</v>
      </c>
    </row>
    <row r="8" spans="1:10" ht="15.75" customHeight="1" x14ac:dyDescent="0.15"/>
    <row r="9" spans="1:10" ht="15.75" customHeight="1" x14ac:dyDescent="0.15">
      <c r="B9" s="140" t="s">
        <v>207</v>
      </c>
      <c r="F9" s="144" t="s">
        <v>201</v>
      </c>
    </row>
    <row r="10" spans="1:10" ht="15.75" customHeight="1" x14ac:dyDescent="0.15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2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15">
      <c r="B12" s="87" t="s">
        <v>142</v>
      </c>
      <c r="C12" s="180">
        <v>0.06</v>
      </c>
      <c r="D12" s="178">
        <v>6.6000000000000003E-2</v>
      </c>
      <c r="F12" s="111"/>
    </row>
    <row r="13" spans="1:10" ht="15.75" customHeight="1" x14ac:dyDescent="0.15"/>
    <row r="14" spans="1:10" ht="15.75" customHeight="1" x14ac:dyDescent="0.15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15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2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15">
      <c r="B17" s="87" t="s">
        <v>196</v>
      </c>
      <c r="C17" s="181">
        <v>7.1999999999999995E-2</v>
      </c>
      <c r="D17" s="182"/>
    </row>
    <row r="18" spans="1:8" ht="15.75" customHeight="1" x14ac:dyDescent="0.15"/>
    <row r="19" spans="1:8" ht="15.75" customHeight="1" x14ac:dyDescent="0.15">
      <c r="B19" s="143" t="s">
        <v>199</v>
      </c>
      <c r="C19" s="136" t="s">
        <v>52</v>
      </c>
      <c r="D19" s="87"/>
      <c r="E19" s="87"/>
      <c r="F19" s="143" t="s">
        <v>232</v>
      </c>
      <c r="G19" s="87"/>
      <c r="H19" s="87"/>
    </row>
    <row r="20" spans="1:8" ht="15.75" customHeight="1" x14ac:dyDescent="0.15">
      <c r="B20" s="138" t="s">
        <v>181</v>
      </c>
      <c r="C20" s="177">
        <f>Fin_Analysis!I75</f>
        <v>0</v>
      </c>
      <c r="F20" s="87" t="s">
        <v>231</v>
      </c>
      <c r="G20" s="178">
        <v>0.25</v>
      </c>
    </row>
    <row r="21" spans="1:8" ht="15.75" customHeight="1" x14ac:dyDescent="0.15">
      <c r="B21" s="138" t="s">
        <v>182</v>
      </c>
      <c r="C21" s="177">
        <f>Fin_Analysis!I77</f>
        <v>0.66167150000644004</v>
      </c>
      <c r="F21" s="87"/>
      <c r="G21" s="29"/>
    </row>
    <row r="22" spans="1:8" ht="15.75" customHeight="1" x14ac:dyDescent="0.15">
      <c r="B22" s="138" t="s">
        <v>183</v>
      </c>
      <c r="C22" s="177">
        <f>Fin_Analysis!I79</f>
        <v>3.6955976811858409E-3</v>
      </c>
      <c r="F22" s="143" t="s">
        <v>200</v>
      </c>
    </row>
    <row r="23" spans="1:8" ht="15.75" customHeight="1" x14ac:dyDescent="0.15">
      <c r="B23" s="138" t="s">
        <v>184</v>
      </c>
      <c r="C23" s="177">
        <f>Fin_Analysis!I80</f>
        <v>0.17959118565275847</v>
      </c>
      <c r="F23" s="141" t="s">
        <v>204</v>
      </c>
      <c r="G23" s="183">
        <f>G3/(Data!C36*Data!C4/Common_Shares*Exchange_Rate)</f>
        <v>1.0177169565481883</v>
      </c>
    </row>
    <row r="24" spans="1:8" ht="15.75" customHeight="1" x14ac:dyDescent="0.15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8.3242038173248753E-2</v>
      </c>
    </row>
    <row r="25" spans="1:8" ht="15.75" customHeight="1" x14ac:dyDescent="0.15">
      <c r="B25" s="138" t="s">
        <v>208</v>
      </c>
      <c r="C25" s="177">
        <f>Fin_Analysis!I82</f>
        <v>1.6744128904032363E-4</v>
      </c>
      <c r="F25" s="141" t="s">
        <v>188</v>
      </c>
      <c r="G25" s="177">
        <f>Fin_Analysis!I88</f>
        <v>0.83334301427395785</v>
      </c>
    </row>
    <row r="26" spans="1:8" ht="15.75" customHeight="1" x14ac:dyDescent="0.15">
      <c r="B26" s="139" t="s">
        <v>187</v>
      </c>
      <c r="C26" s="177">
        <f>Fin_Analysis!I83</f>
        <v>0.15487427537057533</v>
      </c>
      <c r="F26" s="142" t="s">
        <v>210</v>
      </c>
      <c r="G26" s="184">
        <f>Fin_Analysis!H88*Exchange_Rate/G3</f>
        <v>6.9369171005602984E-2</v>
      </c>
    </row>
    <row r="27" spans="1:8" ht="15.75" customHeight="1" x14ac:dyDescent="0.15"/>
    <row r="28" spans="1:8" ht="15.75" customHeight="1" x14ac:dyDescent="0.15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2" t="str">
        <f>Fin_Analysis!H96</f>
        <v>Base Case</v>
      </c>
      <c r="H28" s="242"/>
    </row>
    <row r="29" spans="1:8" ht="15.75" customHeight="1" x14ac:dyDescent="0.15">
      <c r="B29" s="87" t="s">
        <v>180</v>
      </c>
      <c r="C29" s="131">
        <f>IF(Fin_Analysis!C108="Profit",Fin_Analysis!F100,IF(Fin_Analysis!C108="Dividend",Fin_Analysis!E103,Fin_Analysis!E106))</f>
        <v>34.788779112977863</v>
      </c>
      <c r="D29" s="130">
        <f>IF(Fin_Analysis!C108="Profit",Fin_Analysis!I100,IF(Fin_Analysis!C108="Dividend",Fin_Analysis!I103,Fin_Analysis!I106))</f>
        <v>94.793878922367554</v>
      </c>
      <c r="E29" s="87"/>
      <c r="F29" s="132">
        <f>IF(Fin_Analysis!C108="Profit",Fin_Analysis!F100,IF(Fin_Analysis!C108="Dividend",Fin_Analysis!F103,Fin_Analysis!F106))</f>
        <v>75.762504741121447</v>
      </c>
      <c r="G29" s="243">
        <f>IF(Fin_Analysis!C108="Profit",Fin_Analysis!H100,IF(Fin_Analysis!C108="Dividend",Fin_Analysis!H103,Fin_Analysis!H106))</f>
        <v>75.835103137894038</v>
      </c>
      <c r="H29" s="243"/>
    </row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F6" sqref="F6"/>
    </sheetView>
  </sheetViews>
  <sheetFormatPr baseColWidth="10" defaultColWidth="8.83203125" defaultRowHeight="13" x14ac:dyDescent="0.15"/>
  <cols>
    <col min="1" max="1" width="3" customWidth="1"/>
    <col min="2" max="2" width="27.33203125" customWidth="1"/>
    <col min="3" max="13" width="24.6640625" customWidth="1"/>
  </cols>
  <sheetData>
    <row r="2" spans="1:6" ht="16" x14ac:dyDescent="0.2">
      <c r="A2" s="5"/>
      <c r="B2" s="6" t="s">
        <v>235</v>
      </c>
    </row>
    <row r="4" spans="1:6" ht="14" x14ac:dyDescent="0.15">
      <c r="B4" s="142" t="s">
        <v>211</v>
      </c>
      <c r="C4" s="195" t="s">
        <v>246</v>
      </c>
      <c r="E4" s="240" t="s">
        <v>227</v>
      </c>
      <c r="F4" s="12" t="str">
        <f>C11</f>
        <v>CNY</v>
      </c>
    </row>
    <row r="5" spans="1:6" ht="17" x14ac:dyDescent="0.25">
      <c r="B5" s="142" t="s">
        <v>212</v>
      </c>
      <c r="C5" s="241" t="s">
        <v>247</v>
      </c>
      <c r="E5" s="231">
        <f>C18</f>
        <v>45291</v>
      </c>
      <c r="F5" s="232">
        <f>2.175+2.373</f>
        <v>4.548</v>
      </c>
    </row>
    <row r="6" spans="1:6" ht="14" x14ac:dyDescent="0.15">
      <c r="B6" s="142" t="s">
        <v>175</v>
      </c>
      <c r="C6" s="196">
        <v>45603</v>
      </c>
      <c r="E6" s="233" t="s">
        <v>225</v>
      </c>
      <c r="F6" s="232">
        <f>F5</f>
        <v>4.548</v>
      </c>
    </row>
    <row r="7" spans="1:6" ht="14" x14ac:dyDescent="0.15">
      <c r="B7" s="141" t="s">
        <v>4</v>
      </c>
      <c r="C7" s="197">
        <v>8</v>
      </c>
    </row>
    <row r="8" spans="1:6" ht="14" x14ac:dyDescent="0.15">
      <c r="B8" s="141" t="s">
        <v>236</v>
      </c>
      <c r="C8" s="198" t="s">
        <v>46</v>
      </c>
    </row>
    <row r="9" spans="1:6" ht="14" x14ac:dyDescent="0.15">
      <c r="B9" s="141" t="s">
        <v>237</v>
      </c>
      <c r="C9" s="199" t="s">
        <v>248</v>
      </c>
    </row>
    <row r="10" spans="1:6" ht="14" x14ac:dyDescent="0.15">
      <c r="B10" s="141" t="s">
        <v>238</v>
      </c>
      <c r="C10" s="200">
        <v>21481669957</v>
      </c>
    </row>
    <row r="11" spans="1:6" ht="14" x14ac:dyDescent="0.15">
      <c r="B11" s="141" t="s">
        <v>239</v>
      </c>
      <c r="C11" s="199" t="s">
        <v>243</v>
      </c>
    </row>
    <row r="12" spans="1:6" ht="14" x14ac:dyDescent="0.15">
      <c r="B12" s="227" t="s">
        <v>10</v>
      </c>
      <c r="C12" s="228">
        <v>45291</v>
      </c>
    </row>
    <row r="13" spans="1:6" ht="14" x14ac:dyDescent="0.15">
      <c r="B13" s="227" t="s">
        <v>11</v>
      </c>
      <c r="C13" s="229">
        <v>1000000</v>
      </c>
    </row>
    <row r="14" spans="1:6" ht="14" x14ac:dyDescent="0.15">
      <c r="B14" s="227" t="s">
        <v>241</v>
      </c>
      <c r="C14" s="228">
        <v>45473</v>
      </c>
    </row>
    <row r="15" spans="1:6" ht="14" x14ac:dyDescent="0.15">
      <c r="B15" s="227" t="s">
        <v>240</v>
      </c>
      <c r="C15" s="182" t="s">
        <v>244</v>
      </c>
    </row>
    <row r="16" spans="1:6" ht="14" x14ac:dyDescent="0.15">
      <c r="B16" s="234" t="s">
        <v>98</v>
      </c>
      <c r="C16" s="235">
        <v>0.25</v>
      </c>
      <c r="D16" s="24"/>
    </row>
    <row r="18" spans="2:13" ht="15" x14ac:dyDescent="0.15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5" x14ac:dyDescent="0.15">
      <c r="B19" s="94" t="s">
        <v>12</v>
      </c>
      <c r="C19" s="152">
        <v>1009309</v>
      </c>
      <c r="D19" s="152">
        <v>937259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5" x14ac:dyDescent="0.15">
      <c r="B20" s="97" t="s">
        <v>109</v>
      </c>
      <c r="C20" s="153">
        <v>0</v>
      </c>
      <c r="D20" s="153">
        <v>0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5" x14ac:dyDescent="0.15">
      <c r="B21" s="97" t="s">
        <v>107</v>
      </c>
      <c r="C21" s="153">
        <v>874963</v>
      </c>
      <c r="D21" s="153">
        <v>808160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5" x14ac:dyDescent="0.15">
      <c r="B22" s="97" t="s">
        <v>108</v>
      </c>
      <c r="C22" s="153">
        <v>207132</v>
      </c>
      <c r="D22" s="153">
        <v>200077</v>
      </c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5" x14ac:dyDescent="0.15">
      <c r="B23" s="97" t="s">
        <v>110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5" x14ac:dyDescent="0.15">
      <c r="B24" s="97" t="s">
        <v>111</v>
      </c>
      <c r="C24" s="153">
        <v>181263</v>
      </c>
      <c r="D24" s="153">
        <v>189588</v>
      </c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5" x14ac:dyDescent="0.15">
      <c r="B25" s="97" t="s">
        <v>113</v>
      </c>
      <c r="C25" s="153">
        <v>22422</v>
      </c>
      <c r="D25" s="153">
        <v>22811</v>
      </c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5" x14ac:dyDescent="0.15">
      <c r="B26" s="97" t="s">
        <v>129</v>
      </c>
      <c r="C26" s="153">
        <v>3730</v>
      </c>
      <c r="D26" s="153">
        <v>2330</v>
      </c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4" x14ac:dyDescent="0.15">
      <c r="B27" s="99" t="s">
        <v>114</v>
      </c>
      <c r="C27" s="153">
        <v>169</v>
      </c>
      <c r="D27" s="153">
        <v>135</v>
      </c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5" x14ac:dyDescent="0.15">
      <c r="B28" s="94" t="s">
        <v>15</v>
      </c>
      <c r="C28" s="226"/>
      <c r="D28" s="153">
        <v>498104</v>
      </c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5" x14ac:dyDescent="0.15">
      <c r="B29" s="94" t="s">
        <v>121</v>
      </c>
      <c r="C29" s="226"/>
      <c r="D29" s="153">
        <v>68428</v>
      </c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5" x14ac:dyDescent="0.15">
      <c r="B30" s="94" t="s">
        <v>159</v>
      </c>
      <c r="C30" s="226"/>
      <c r="D30" s="153">
        <v>12026</v>
      </c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5" x14ac:dyDescent="0.15">
      <c r="B31" s="94" t="s">
        <v>16</v>
      </c>
      <c r="C31" s="226"/>
      <c r="D31" s="153">
        <v>558565</v>
      </c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5" x14ac:dyDescent="0.15">
      <c r="B32" s="94" t="s">
        <v>120</v>
      </c>
      <c r="C32" s="226"/>
      <c r="D32" s="153">
        <v>88107</v>
      </c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5" x14ac:dyDescent="0.15">
      <c r="B33" s="94" t="s">
        <v>17</v>
      </c>
      <c r="C33" s="226"/>
      <c r="D33" s="153">
        <v>35175</v>
      </c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5" x14ac:dyDescent="0.15">
      <c r="B34" s="94" t="s">
        <v>18</v>
      </c>
      <c r="C34" s="226"/>
      <c r="D34" s="153">
        <v>67759</v>
      </c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5" x14ac:dyDescent="0.15">
      <c r="B35" s="94" t="s">
        <v>148</v>
      </c>
      <c r="C35" s="226"/>
      <c r="D35" s="153">
        <v>1345985</v>
      </c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5" x14ac:dyDescent="0.15">
      <c r="B36" s="94" t="s">
        <v>149</v>
      </c>
      <c r="C36" s="226"/>
      <c r="D36" s="153">
        <v>4253</v>
      </c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5" x14ac:dyDescent="0.15">
      <c r="B37" s="94" t="s">
        <v>147</v>
      </c>
      <c r="C37" s="226"/>
      <c r="D37" s="153">
        <v>795161</v>
      </c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4" x14ac:dyDescent="0.15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4" x14ac:dyDescent="0.15">
      <c r="B40" s="3" t="s">
        <v>38</v>
      </c>
      <c r="C40" s="59">
        <v>172891</v>
      </c>
      <c r="D40" s="60">
        <v>0.9</v>
      </c>
      <c r="E40" s="113"/>
    </row>
    <row r="41" spans="2:13" ht="14" x14ac:dyDescent="0.15">
      <c r="B41" s="1" t="s">
        <v>146</v>
      </c>
      <c r="C41" s="59"/>
      <c r="D41" s="60">
        <v>0.8</v>
      </c>
      <c r="E41" s="113"/>
    </row>
    <row r="42" spans="2:13" ht="14" x14ac:dyDescent="0.15">
      <c r="B42" s="3" t="s">
        <v>121</v>
      </c>
      <c r="C42" s="59">
        <v>100939</v>
      </c>
      <c r="D42" s="60">
        <f>D43</f>
        <v>0.6</v>
      </c>
      <c r="E42" s="113"/>
    </row>
    <row r="43" spans="2:13" ht="14" x14ac:dyDescent="0.15">
      <c r="B43" s="3" t="s">
        <v>42</v>
      </c>
      <c r="C43" s="59">
        <v>176336</v>
      </c>
      <c r="D43" s="60">
        <v>0.6</v>
      </c>
      <c r="E43" s="113"/>
    </row>
    <row r="44" spans="2:13" ht="14" x14ac:dyDescent="0.15">
      <c r="B44" s="3" t="s">
        <v>44</v>
      </c>
      <c r="C44" s="59">
        <v>19344</v>
      </c>
      <c r="D44" s="60">
        <v>0.5</v>
      </c>
      <c r="E44" s="113"/>
    </row>
    <row r="45" spans="2:13" ht="14" x14ac:dyDescent="0.15">
      <c r="B45" s="1" t="s">
        <v>170</v>
      </c>
      <c r="C45" s="59">
        <v>22728</v>
      </c>
      <c r="D45" s="60">
        <f>D42</f>
        <v>0.6</v>
      </c>
      <c r="E45" s="113"/>
    </row>
    <row r="46" spans="2:13" ht="14" x14ac:dyDescent="0.15">
      <c r="B46" s="3" t="s">
        <v>122</v>
      </c>
      <c r="C46" s="59">
        <v>28822</v>
      </c>
      <c r="D46" s="60">
        <v>0.1</v>
      </c>
      <c r="E46" s="113"/>
    </row>
    <row r="47" spans="2:13" ht="14" x14ac:dyDescent="0.15">
      <c r="B47" s="3" t="s">
        <v>47</v>
      </c>
      <c r="C47" s="59">
        <v>12616</v>
      </c>
      <c r="D47" s="60">
        <f>D44</f>
        <v>0.5</v>
      </c>
      <c r="E47" s="113"/>
    </row>
    <row r="48" spans="2:13" ht="14" x14ac:dyDescent="0.15">
      <c r="B48" s="1" t="s">
        <v>48</v>
      </c>
      <c r="C48" s="59"/>
      <c r="D48" s="60">
        <f>D42</f>
        <v>0.6</v>
      </c>
      <c r="E48" s="230" t="s">
        <v>71</v>
      </c>
    </row>
    <row r="49" spans="2:5" ht="14" x14ac:dyDescent="0.15">
      <c r="B49" s="3" t="s">
        <v>124</v>
      </c>
      <c r="C49" s="59"/>
      <c r="D49" s="60">
        <v>0.6</v>
      </c>
      <c r="E49" s="230" t="s">
        <v>46</v>
      </c>
    </row>
    <row r="50" spans="2:5" ht="14" x14ac:dyDescent="0.15">
      <c r="B50" s="3" t="s">
        <v>50</v>
      </c>
      <c r="C50" s="59">
        <v>507</v>
      </c>
      <c r="D50" s="60">
        <f>D40</f>
        <v>0.9</v>
      </c>
      <c r="E50" s="113"/>
    </row>
    <row r="51" spans="2:5" ht="14" x14ac:dyDescent="0.15">
      <c r="B51" s="35" t="s">
        <v>51</v>
      </c>
      <c r="C51" s="121"/>
      <c r="D51" s="202">
        <f>D62</f>
        <v>0.05</v>
      </c>
      <c r="E51" s="113"/>
    </row>
    <row r="52" spans="2:5" ht="14" x14ac:dyDescent="0.15">
      <c r="B52" s="3" t="s">
        <v>61</v>
      </c>
      <c r="C52" s="59">
        <v>75495</v>
      </c>
      <c r="D52" s="60">
        <f>D41</f>
        <v>0.8</v>
      </c>
      <c r="E52" s="113"/>
    </row>
    <row r="53" spans="2:5" ht="14" x14ac:dyDescent="0.15">
      <c r="B53" s="3" t="s">
        <v>63</v>
      </c>
      <c r="C53" s="59">
        <v>182795</v>
      </c>
      <c r="D53" s="60">
        <f>D43</f>
        <v>0.6</v>
      </c>
      <c r="E53" s="113"/>
    </row>
    <row r="54" spans="2:5" ht="14" x14ac:dyDescent="0.15">
      <c r="B54" s="3" t="s">
        <v>65</v>
      </c>
      <c r="C54" s="59">
        <v>5625</v>
      </c>
      <c r="D54" s="60">
        <f>D44</f>
        <v>0.5</v>
      </c>
      <c r="E54" s="113"/>
    </row>
    <row r="55" spans="2:5" ht="14" x14ac:dyDescent="0.15">
      <c r="B55" s="1" t="s">
        <v>171</v>
      </c>
      <c r="C55" s="59"/>
      <c r="D55" s="60">
        <f>D54</f>
        <v>0.5</v>
      </c>
      <c r="E55" s="113"/>
    </row>
    <row r="56" spans="2:5" ht="14" x14ac:dyDescent="0.15">
      <c r="B56" s="3" t="s">
        <v>68</v>
      </c>
      <c r="C56" s="59"/>
      <c r="D56" s="60">
        <v>0.4</v>
      </c>
      <c r="E56" s="113"/>
    </row>
    <row r="57" spans="2:5" ht="14" x14ac:dyDescent="0.15">
      <c r="B57" s="3" t="s">
        <v>70</v>
      </c>
      <c r="C57" s="59">
        <v>185013</v>
      </c>
      <c r="D57" s="60">
        <v>0.1</v>
      </c>
      <c r="E57" s="230" t="s">
        <v>71</v>
      </c>
    </row>
    <row r="58" spans="2:5" ht="14" x14ac:dyDescent="0.15">
      <c r="B58" s="3" t="s">
        <v>72</v>
      </c>
      <c r="C58" s="59"/>
      <c r="D58" s="60">
        <v>0.2</v>
      </c>
      <c r="E58" s="230" t="s">
        <v>71</v>
      </c>
    </row>
    <row r="59" spans="2:5" ht="14" x14ac:dyDescent="0.15">
      <c r="B59" s="1" t="s">
        <v>49</v>
      </c>
      <c r="C59" s="59">
        <v>94862</v>
      </c>
      <c r="D59" s="60">
        <f>D57</f>
        <v>0.1</v>
      </c>
      <c r="E59" s="230" t="s">
        <v>46</v>
      </c>
    </row>
    <row r="60" spans="2:5" ht="14" x14ac:dyDescent="0.15">
      <c r="B60" s="3" t="s">
        <v>123</v>
      </c>
      <c r="C60" s="59">
        <v>781712</v>
      </c>
      <c r="D60" s="60">
        <f>D57</f>
        <v>0.1</v>
      </c>
      <c r="E60" s="113"/>
    </row>
    <row r="61" spans="2:5" ht="14" x14ac:dyDescent="0.15">
      <c r="B61" s="3" t="s">
        <v>73</v>
      </c>
      <c r="C61" s="59"/>
      <c r="D61" s="60">
        <f>D62</f>
        <v>0.05</v>
      </c>
      <c r="E61" s="113"/>
    </row>
    <row r="62" spans="2:5" ht="14" x14ac:dyDescent="0.15">
      <c r="B62" s="3" t="s">
        <v>74</v>
      </c>
      <c r="C62" s="59">
        <v>34291</v>
      </c>
      <c r="D62" s="60">
        <v>0.05</v>
      </c>
      <c r="E62" s="113"/>
    </row>
    <row r="63" spans="2:5" ht="14" x14ac:dyDescent="0.15">
      <c r="B63" s="3" t="s">
        <v>75</v>
      </c>
      <c r="C63" s="59">
        <v>47891</v>
      </c>
      <c r="D63" s="60">
        <f>D50</f>
        <v>0.9</v>
      </c>
      <c r="E63" s="113"/>
    </row>
    <row r="64" spans="2:5" ht="14" x14ac:dyDescent="0.15">
      <c r="B64" s="3" t="s">
        <v>76</v>
      </c>
      <c r="C64" s="59">
        <v>79740</v>
      </c>
      <c r="D64" s="60">
        <v>0</v>
      </c>
      <c r="E64" s="113"/>
    </row>
    <row r="65" spans="2:3" ht="14" x14ac:dyDescent="0.15">
      <c r="B65" s="203" t="s">
        <v>37</v>
      </c>
      <c r="C65" s="201"/>
    </row>
    <row r="66" spans="2:3" ht="14" x14ac:dyDescent="0.15">
      <c r="B66" s="3" t="s">
        <v>39</v>
      </c>
      <c r="C66" s="59"/>
    </row>
    <row r="67" spans="2:3" ht="14" x14ac:dyDescent="0.15">
      <c r="B67" s="3" t="s">
        <v>40</v>
      </c>
      <c r="C67" s="59">
        <v>33448</v>
      </c>
    </row>
    <row r="68" spans="2:3" ht="14" x14ac:dyDescent="0.15">
      <c r="B68" s="3" t="s">
        <v>41</v>
      </c>
      <c r="C68" s="59"/>
    </row>
    <row r="69" spans="2:3" ht="14" x14ac:dyDescent="0.15">
      <c r="B69" s="86" t="s">
        <v>43</v>
      </c>
      <c r="C69" s="121"/>
    </row>
    <row r="70" spans="2:3" ht="15" thickBot="1" x14ac:dyDescent="0.2">
      <c r="B70" s="80" t="s">
        <v>16</v>
      </c>
      <c r="C70" s="83">
        <v>554255</v>
      </c>
    </row>
    <row r="71" spans="2:3" ht="15" thickTop="1" x14ac:dyDescent="0.15">
      <c r="B71" s="3" t="s">
        <v>62</v>
      </c>
      <c r="C71" s="59"/>
    </row>
    <row r="72" spans="2:3" ht="14" x14ac:dyDescent="0.15">
      <c r="B72" s="3" t="s">
        <v>64</v>
      </c>
      <c r="C72" s="59">
        <v>62222</v>
      </c>
    </row>
    <row r="73" spans="2:3" ht="14" x14ac:dyDescent="0.15">
      <c r="B73" s="3" t="s">
        <v>66</v>
      </c>
      <c r="C73" s="59"/>
    </row>
    <row r="74" spans="2:3" ht="14" x14ac:dyDescent="0.15">
      <c r="B74" s="86" t="s">
        <v>67</v>
      </c>
      <c r="C74" s="121"/>
    </row>
    <row r="75" spans="2:3" ht="15" thickBot="1" x14ac:dyDescent="0.2">
      <c r="B75" s="80" t="s">
        <v>85</v>
      </c>
      <c r="C75" s="83">
        <v>83483</v>
      </c>
    </row>
    <row r="76" spans="2:3" ht="15" thickTop="1" x14ac:dyDescent="0.15">
      <c r="B76" s="73" t="s">
        <v>242</v>
      </c>
      <c r="C76" s="59">
        <v>1379544</v>
      </c>
    </row>
    <row r="77" spans="2:3" ht="14" x14ac:dyDescent="0.15">
      <c r="B77" s="20" t="s">
        <v>91</v>
      </c>
      <c r="C77" s="59"/>
    </row>
    <row r="78" spans="2:3" ht="14" x14ac:dyDescent="0.15">
      <c r="B78" s="20" t="s">
        <v>93</v>
      </c>
      <c r="C78" s="59"/>
    </row>
    <row r="81" spans="2:2" ht="14" x14ac:dyDescent="0.15">
      <c r="B81" s="20"/>
    </row>
    <row r="85" spans="2:2" ht="14" x14ac:dyDescent="0.15">
      <c r="B85" s="20"/>
    </row>
    <row r="86" spans="2:2" ht="14" x14ac:dyDescent="0.15">
      <c r="B86" s="20"/>
    </row>
    <row r="87" spans="2:2" ht="14" x14ac:dyDescent="0.15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20" sqref="D20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15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130390.66666666667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15">
      <c r="A4" s="4"/>
      <c r="B4" s="104" t="s">
        <v>11</v>
      </c>
      <c r="C4" s="129">
        <f>Inputs!C13</f>
        <v>1000000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15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15">
      <c r="A6" s="4"/>
      <c r="B6" s="94" t="s">
        <v>12</v>
      </c>
      <c r="C6" s="209">
        <f>IF(Inputs!C19=""," ",Inputs!C19)</f>
        <v>1009309</v>
      </c>
      <c r="D6" s="209">
        <f>IF(Inputs!D19="","",Inputs!D19)</f>
        <v>937259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15">
      <c r="A7" s="4"/>
      <c r="B7" s="96" t="s">
        <v>13</v>
      </c>
      <c r="C7" s="92">
        <f t="shared" ref="C7:M7" si="1">IF(D6="","",C6/D6-1)</f>
        <v>7.687309484358118E-2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15">
      <c r="A8" s="4"/>
      <c r="B8" s="97" t="s">
        <v>109</v>
      </c>
      <c r="C8" s="208">
        <f>IF(Inputs!C20="","",Inputs!C20)</f>
        <v>0</v>
      </c>
      <c r="D8" s="208">
        <f>IF(Inputs!D20="","",Inputs!D20)</f>
        <v>0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15">
      <c r="A9" s="4"/>
      <c r="B9" s="98" t="s">
        <v>105</v>
      </c>
      <c r="C9" s="154">
        <f t="shared" ref="C9:M9" si="2">IF(C6="","",(C6-C8))</f>
        <v>1009309</v>
      </c>
      <c r="D9" s="154">
        <f t="shared" si="2"/>
        <v>937259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15">
      <c r="A10" s="4"/>
      <c r="B10" s="97" t="s">
        <v>107</v>
      </c>
      <c r="C10" s="208">
        <f>IF(Inputs!C21="","",Inputs!C21)</f>
        <v>874963</v>
      </c>
      <c r="D10" s="208">
        <f>IF(Inputs!D21="","",Inputs!D21)</f>
        <v>808160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15">
      <c r="A11" s="4"/>
      <c r="B11" s="94" t="s">
        <v>100</v>
      </c>
      <c r="C11" s="155">
        <f>IF(OR(C6="",C12=""),"",C12/C6)</f>
        <v>0.20522159219822672</v>
      </c>
      <c r="D11" s="155">
        <f t="shared" ref="D11:M11" si="3">IF(OR(D6="",D12=""),"",D12/D6)</f>
        <v>0.21347034277611632</v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15">
      <c r="A12" s="4"/>
      <c r="B12" s="97" t="s">
        <v>108</v>
      </c>
      <c r="C12" s="208">
        <f>IF(Inputs!C22="","",Inputs!C22)</f>
        <v>207132</v>
      </c>
      <c r="D12" s="208">
        <f>IF(Inputs!D22="","",Inputs!D22)</f>
        <v>200077</v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15">
      <c r="A13" s="4"/>
      <c r="B13" s="98" t="s">
        <v>106</v>
      </c>
      <c r="C13" s="154">
        <f>IF(C6="","",(C9-C10+MAX(C12,0)))</f>
        <v>341478</v>
      </c>
      <c r="D13" s="154">
        <f t="shared" ref="D13:M13" si="4">IF(D6="","",(D9-D10+MAX(D12,0)))</f>
        <v>329176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15">
      <c r="A14" s="4"/>
      <c r="B14" s="97" t="s">
        <v>110</v>
      </c>
      <c r="C14" s="208" t="str">
        <f>IF(Inputs!C23="","",Inputs!C23)</f>
        <v/>
      </c>
      <c r="D14" s="208" t="str">
        <f>IF(Inputs!D23="","",Inputs!D23)</f>
        <v/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15">
      <c r="A15" s="4"/>
      <c r="B15" s="97" t="s">
        <v>111</v>
      </c>
      <c r="C15" s="208">
        <f>IF(Inputs!C24="","",Inputs!C24)</f>
        <v>181263</v>
      </c>
      <c r="D15" s="208">
        <f>IF(Inputs!D24="","",Inputs!D24)</f>
        <v>189588</v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15">
      <c r="A16" s="4"/>
      <c r="B16" s="97" t="s">
        <v>113</v>
      </c>
      <c r="C16" s="208">
        <f>IF(Inputs!C25="","",Inputs!C25)</f>
        <v>22422</v>
      </c>
      <c r="D16" s="208">
        <f>IF(Inputs!D25="","",Inputs!D25)</f>
        <v>22811</v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15">
      <c r="A17" s="4"/>
      <c r="B17" s="97" t="s">
        <v>129</v>
      </c>
      <c r="C17" s="208">
        <f>IF(Inputs!C26="","",Inputs!C26)</f>
        <v>3730</v>
      </c>
      <c r="D17" s="208">
        <f>IF(Inputs!D26="","",Inputs!D26)</f>
        <v>2330</v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15">
      <c r="A18" s="4"/>
      <c r="B18" s="99" t="s">
        <v>114</v>
      </c>
      <c r="C18" s="208">
        <f>IF(Inputs!C27="","",Inputs!C27)</f>
        <v>169</v>
      </c>
      <c r="D18" s="208">
        <f>IF(Inputs!D27="","",Inputs!D27)</f>
        <v>135</v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15">
      <c r="A19" s="4"/>
      <c r="B19" s="236" t="s">
        <v>216</v>
      </c>
      <c r="C19" s="237">
        <f>IF(C6="","",C9-C10-MAX(C17,0)-MAX(C18,0)/(1-Fin_Analysis!$I$84))</f>
        <v>130390.66666666667</v>
      </c>
      <c r="D19" s="237">
        <f>IF(D6="","",D9-D10-MAX(D17,0)-MAX(D18,0)/(1-Fin_Analysis!$I$84))</f>
        <v>126589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15">
      <c r="A20" s="4"/>
      <c r="B20" s="236" t="s">
        <v>217</v>
      </c>
      <c r="C20" s="238">
        <f>IF(D19="","",IF(ABS(C19+D19)=ABS(C19)+ABS(D19),IF(C19&lt;0,-1,1)*(C19-D19)/D19,"Turn"))</f>
        <v>3.0031571990194024E-2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15">
      <c r="A21" s="4"/>
      <c r="B21" s="94" t="s">
        <v>115</v>
      </c>
      <c r="C21" s="77">
        <f>IF(C6="","",C13-MAX(C14,0)-MAX(C15,0)-MAX(C16,0)-MAX(C17,0)-MAX(C18,0)/(1-Fin_Analysis!$I$84))</f>
        <v>133837.66666666666</v>
      </c>
      <c r="D21" s="77">
        <f>IF(D6="","",D13-MAX(D14,0)-MAX(D15,0)-MAX(D16,0)-MAX(D17,0)-MAX(D18,0)/(1-Fin_Analysis!$I$84))</f>
        <v>114267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15">
      <c r="A22" s="4"/>
      <c r="B22" s="98" t="s">
        <v>116</v>
      </c>
      <c r="C22" s="156">
        <f>IF(D21="","",IF(ABS(C21+D21)=ABS(C21)+ABS(D21),IF(C21&lt;0,-1,1)*(C21-D21)/D21,"Turn"))</f>
        <v>0.17127137902164805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15">
      <c r="A23" s="4"/>
      <c r="B23" s="100" t="s">
        <v>117</v>
      </c>
      <c r="C23" s="157">
        <f t="shared" ref="C23:M23" si="7">IF(C6="","",C24/C6)</f>
        <v>9.9452447169300975E-2</v>
      </c>
      <c r="D23" s="157">
        <f t="shared" si="7"/>
        <v>9.1437105431903032E-2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15">
      <c r="A24" s="4"/>
      <c r="B24" s="102" t="s">
        <v>118</v>
      </c>
      <c r="C24" s="158">
        <f>IF(C6="","",C21*(1-Fin_Analysis!$I$84))</f>
        <v>100378.25</v>
      </c>
      <c r="D24" s="77">
        <f>IF(D6="","",D21*(1-Fin_Analysis!$I$84))</f>
        <v>85700.25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2">
      <c r="A25" s="4"/>
      <c r="B25" s="101" t="s">
        <v>138</v>
      </c>
      <c r="C25" s="159">
        <f>IF(D24="","",IF(ABS(C24+D24)=ABS(C24)+ABS(D24),IF(C24&lt;0,-1,1)*(C24-D24)/D24,"Turn"))</f>
        <v>0.17127137902164813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15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15">
      <c r="A27" s="4"/>
      <c r="B27" s="94" t="s">
        <v>14</v>
      </c>
      <c r="C27" s="65">
        <f>IF(C36="","",C36+C31+C32)</f>
        <v>2021607</v>
      </c>
      <c r="D27" s="65">
        <f t="shared" ref="D27:M27" si="18">IF(D36="","",D36+D31+D32)</f>
        <v>1992657</v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15">
      <c r="A28" s="4"/>
      <c r="B28" s="94" t="s">
        <v>15</v>
      </c>
      <c r="C28" s="65">
        <f>Fin_Analysis!C28</f>
        <v>534183</v>
      </c>
      <c r="D28" s="208">
        <f>IF(Inputs!D28="","",Inputs!D28)</f>
        <v>498104</v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15">
      <c r="A29" s="4"/>
      <c r="B29" s="94" t="s">
        <v>121</v>
      </c>
      <c r="C29" s="65">
        <f>Fin_Analysis!C13</f>
        <v>100939</v>
      </c>
      <c r="D29" s="208">
        <f>IF(Inputs!D29="","",Inputs!D29)</f>
        <v>68428</v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15">
      <c r="A30" s="4"/>
      <c r="B30" s="94" t="s">
        <v>159</v>
      </c>
      <c r="C30" s="65">
        <f>Fin_Analysis!C18</f>
        <v>12616</v>
      </c>
      <c r="D30" s="208">
        <f>IF(Inputs!D30="","",Inputs!D30)</f>
        <v>12026</v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15">
      <c r="A31" s="4"/>
      <c r="B31" s="94" t="s">
        <v>16</v>
      </c>
      <c r="C31" s="65">
        <f>Fin_Analysis!I28</f>
        <v>554255</v>
      </c>
      <c r="D31" s="208">
        <f>IF(Inputs!D31="","",Inputs!D31)</f>
        <v>558565</v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15">
      <c r="A32" s="4"/>
      <c r="B32" s="94" t="s">
        <v>120</v>
      </c>
      <c r="C32" s="65">
        <f>Fin_Analysis!I48</f>
        <v>83483</v>
      </c>
      <c r="D32" s="208">
        <f>IF(Inputs!D32="","",Inputs!D32)</f>
        <v>88107</v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15">
      <c r="A33" s="4"/>
      <c r="B33" s="94" t="s">
        <v>17</v>
      </c>
      <c r="C33" s="65">
        <f>Fin_Analysis!I15</f>
        <v>33448</v>
      </c>
      <c r="D33" s="208">
        <f>IF(Inputs!D33="","",Inputs!D33)</f>
        <v>35175</v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15">
      <c r="A34" s="4"/>
      <c r="B34" s="94" t="s">
        <v>18</v>
      </c>
      <c r="C34" s="65">
        <f>Fin_Analysis!I34</f>
        <v>62222</v>
      </c>
      <c r="D34" s="208">
        <f>IF(Inputs!D34="","",Inputs!D34)</f>
        <v>67759</v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15">
      <c r="A35" s="4"/>
      <c r="B35" s="94" t="s">
        <v>19</v>
      </c>
      <c r="C35" s="77">
        <f t="shared" ref="C35" si="19">IF(OR(C33="",C34=""),"",C33+C34)</f>
        <v>95670</v>
      </c>
      <c r="D35" s="77">
        <f t="shared" ref="D35" si="20">IF(OR(D33="",D34=""),"",D33+D34)</f>
        <v>102934</v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15">
      <c r="A36" s="4"/>
      <c r="B36" s="94" t="s">
        <v>148</v>
      </c>
      <c r="C36" s="65">
        <f>Fin_Analysis!D3</f>
        <v>1383869</v>
      </c>
      <c r="D36" s="208">
        <f>IF(Inputs!D35="","",Inputs!D35)</f>
        <v>1345985</v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15">
      <c r="A37" s="4"/>
      <c r="B37" s="94" t="s">
        <v>149</v>
      </c>
      <c r="C37" s="65">
        <f>Fin_Analysis!D4</f>
        <v>4325</v>
      </c>
      <c r="D37" s="208">
        <f>IF(Inputs!D36="","",Inputs!D36)</f>
        <v>4253</v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15">
      <c r="A38" s="4"/>
      <c r="B38" s="94" t="s">
        <v>147</v>
      </c>
      <c r="C38" s="65">
        <f>Fin_Analysis!C63</f>
        <v>817499</v>
      </c>
      <c r="D38" s="208">
        <f>IF(Inputs!D37="","",Inputs!D37)</f>
        <v>795161</v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15">
      <c r="A39" s="4"/>
      <c r="B39" s="94" t="s">
        <v>151</v>
      </c>
      <c r="C39" s="65">
        <f>Fin_Analysis!C68</f>
        <v>1204108</v>
      </c>
      <c r="D39" s="65">
        <f>IF(D38="","",D27-D38)</f>
        <v>1197496</v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15">
      <c r="A40" s="4"/>
      <c r="B40" s="98" t="s">
        <v>169</v>
      </c>
      <c r="C40" s="160">
        <f t="shared" ref="C40" si="31">IF(C6="","",C21/C39)</f>
        <v>0.11115088236824824</v>
      </c>
      <c r="D40" s="160">
        <f>IF(D39="","",D21/D39)</f>
        <v>9.5421613099333946E-2</v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15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15">
      <c r="A42" s="4"/>
      <c r="B42" s="95" t="s">
        <v>99</v>
      </c>
      <c r="C42" s="161">
        <f t="shared" ref="C42:M42" si="33">IF(C6="","",C8/C6)</f>
        <v>0</v>
      </c>
      <c r="D42" s="161">
        <f t="shared" si="33"/>
        <v>0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15">
      <c r="A43" s="4"/>
      <c r="B43" s="94" t="s">
        <v>126</v>
      </c>
      <c r="C43" s="157">
        <f>IF(C6="","",(C10-MAX(C12,0))/C6)</f>
        <v>0.66167150000644004</v>
      </c>
      <c r="D43" s="157">
        <f t="shared" ref="D43:M43" si="34">IF(D6="","",(D10-MAX(D12,0))/D6)</f>
        <v>0.64878864860193397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15">
      <c r="A44" s="4"/>
      <c r="B44" s="94" t="s">
        <v>101</v>
      </c>
      <c r="C44" s="157">
        <f>IF(C6="","",(MAX(C14,0)+MAX(C15,0))/C6)</f>
        <v>0.17959118565275847</v>
      </c>
      <c r="D44" s="157">
        <f t="shared" ref="D44:M44" si="35">IF(D6="","",(MAX(D14,0)+MAX(D15,0))/D6)</f>
        <v>0.20227919923948451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15">
      <c r="A45" s="4"/>
      <c r="B45" s="94" t="s">
        <v>112</v>
      </c>
      <c r="C45" s="157">
        <f t="shared" ref="C45:M45" si="36">IF(C6="","",MAX(C16,0)/C6)</f>
        <v>2.2215198715160572E-2</v>
      </c>
      <c r="D45" s="157">
        <f t="shared" si="36"/>
        <v>2.4337989819249534E-2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15">
      <c r="A46" s="4"/>
      <c r="B46" s="94" t="s">
        <v>127</v>
      </c>
      <c r="C46" s="157">
        <f>IF(C6="","",MAX(C17,0)/C6)</f>
        <v>3.6955976811858409E-3</v>
      </c>
      <c r="D46" s="157">
        <f t="shared" ref="D46:M46" si="37">IF(D6="","",MAX(D17,0)/D6)</f>
        <v>2.4859723939700765E-3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15">
      <c r="A47" s="4"/>
      <c r="B47" s="94" t="s">
        <v>139</v>
      </c>
      <c r="C47" s="157">
        <f>IF(C6="","",MAX(C18,0)/(1-Fin_Analysis!$I$84)/C6)</f>
        <v>2.2325505205376484E-4</v>
      </c>
      <c r="D47" s="157">
        <f>IF(D6="","",MAX(D18,0)/(1-Fin_Analysis!$I$84)/D6)</f>
        <v>1.9204936949125055E-4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15">
      <c r="A48" s="4"/>
      <c r="B48" s="94" t="s">
        <v>130</v>
      </c>
      <c r="C48" s="157">
        <f t="shared" ref="C48:M48" si="38">IF(C6="","",C21/C6)</f>
        <v>0.13260326289240129</v>
      </c>
      <c r="D48" s="157">
        <f t="shared" si="38"/>
        <v>0.1219161405758707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15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15">
      <c r="A50" s="4"/>
      <c r="B50" s="95" t="s">
        <v>157</v>
      </c>
      <c r="C50" s="161">
        <f>IF(C29="","",C29/C6)</f>
        <v>0.10000802529255164</v>
      </c>
      <c r="D50" s="161">
        <f t="shared" ref="D50:M50" si="39">IF(D29="","",D29/D6)</f>
        <v>7.3008634753040522E-2</v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15">
      <c r="A51" s="4"/>
      <c r="B51" s="94" t="s">
        <v>158</v>
      </c>
      <c r="C51" s="157">
        <f>IF(C30="","",C30/C6)</f>
        <v>1.2499640843388893E-2</v>
      </c>
      <c r="D51" s="157">
        <f t="shared" ref="D51:M51" si="40">IF(D30="","",D30/D6)</f>
        <v>1.2831031763898772E-2</v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15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15">
      <c r="A53" s="4"/>
      <c r="B53" s="95" t="s">
        <v>20</v>
      </c>
      <c r="C53" s="161">
        <f>IF(C36="","",(C27-C36)/C27)</f>
        <v>0.31546091797268211</v>
      </c>
      <c r="D53" s="161">
        <f t="shared" ref="D53:M53" si="41">IF(D36="","",(D27-D36)/D27)</f>
        <v>0.32452750272625946</v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15">
      <c r="A54" s="4"/>
      <c r="B54" s="94" t="s">
        <v>125</v>
      </c>
      <c r="C54" s="162">
        <f>IF(OR(C21="",C35=""),"",IF(C35&lt;=0,"-",C21/C35))</f>
        <v>1.398951256053796</v>
      </c>
      <c r="D54" s="162">
        <f t="shared" ref="D54:M54" si="42">IF(OR(D21="",D35=""),"",IF(D35&lt;=0,"-",D21/D35))</f>
        <v>1.1100996755202364</v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15">
      <c r="A55" s="4"/>
      <c r="B55" s="94" t="s">
        <v>128</v>
      </c>
      <c r="C55" s="157">
        <f>IF(C21="","",IF(MAX(C17,0)&lt;=0,"-",C17/C21))</f>
        <v>2.7869583301163351E-2</v>
      </c>
      <c r="D55" s="157">
        <f t="shared" ref="D55:M55" si="43">IF(D21="","",IF(MAX(D17,0)&lt;=0,"-",D17/D21))</f>
        <v>2.0390838999886231E-2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15">
      <c r="A56" s="4"/>
      <c r="B56" s="98" t="s">
        <v>21</v>
      </c>
      <c r="C56" s="163">
        <f t="shared" ref="C56:M56" si="44">IF(C28="","",C28/C31)</f>
        <v>0.96378562214143304</v>
      </c>
      <c r="D56" s="163">
        <f t="shared" si="44"/>
        <v>0.89175655474295745</v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15"/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>
      <c r="A246" s="4"/>
    </row>
    <row r="247" spans="1:1" ht="15.75" customHeight="1" x14ac:dyDescent="0.15">
      <c r="A247" s="4"/>
    </row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84" zoomScaleNormal="100" workbookViewId="0">
      <selection activeCell="D103" sqref="D103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15">
      <c r="B3" s="3" t="s">
        <v>23</v>
      </c>
      <c r="C3" s="87"/>
      <c r="D3" s="117">
        <f>C49-I49</f>
        <v>1383869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1379544</v>
      </c>
      <c r="K3" s="24"/>
    </row>
    <row r="4" spans="1:11" ht="15" customHeight="1" x14ac:dyDescent="0.15">
      <c r="B4" s="3" t="s">
        <v>25</v>
      </c>
      <c r="C4" s="87"/>
      <c r="D4" s="65">
        <f>D3-I3</f>
        <v>4325</v>
      </c>
      <c r="E4" s="37"/>
      <c r="F4" s="87"/>
      <c r="G4" s="87"/>
      <c r="H4" s="21"/>
      <c r="I4" s="54"/>
      <c r="K4" s="24"/>
    </row>
    <row r="5" spans="1:11" ht="15" customHeight="1" x14ac:dyDescent="0.15">
      <c r="C5" s="87"/>
      <c r="D5" s="87"/>
      <c r="E5" s="11" t="s">
        <v>26</v>
      </c>
      <c r="H5" s="1" t="s">
        <v>28</v>
      </c>
      <c r="I5" s="63">
        <f>C28/I28</f>
        <v>0.96378562214143304</v>
      </c>
      <c r="K5" s="24"/>
    </row>
    <row r="6" spans="1:11" ht="15" customHeight="1" thickBot="1" x14ac:dyDescent="0.2">
      <c r="B6" s="20" t="s">
        <v>27</v>
      </c>
      <c r="C6" s="87"/>
      <c r="D6" s="69">
        <f>(E49-I49-E53)*Exchange_Rate</f>
        <v>-25523.568702849334</v>
      </c>
      <c r="E6" s="56">
        <f>1-D6/D3</f>
        <v>1.0184436306491795</v>
      </c>
      <c r="F6" s="87"/>
      <c r="G6" s="87"/>
      <c r="H6" s="1" t="s">
        <v>30</v>
      </c>
      <c r="I6" s="63">
        <f>(C24+C25)/I28</f>
        <v>0.9401087946883655</v>
      </c>
      <c r="J6" s="87"/>
      <c r="K6" s="24"/>
    </row>
    <row r="7" spans="1:11" ht="15" customHeight="1" thickTop="1" x14ac:dyDescent="0.15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>
        <f>C24/I28</f>
        <v>0.81220016057590816</v>
      </c>
      <c r="J7" s="87"/>
      <c r="K7" s="33"/>
    </row>
    <row r="8" spans="1:11" ht="15" customHeight="1" x14ac:dyDescent="0.15">
      <c r="C8" s="87"/>
      <c r="D8" s="87"/>
      <c r="E8" s="87"/>
      <c r="K8" s="24"/>
    </row>
    <row r="9" spans="1:11" ht="15" customHeight="1" x14ac:dyDescent="0.2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15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15">
      <c r="B11" s="3" t="s">
        <v>38</v>
      </c>
      <c r="C11" s="40">
        <f>Inputs!C40</f>
        <v>172891</v>
      </c>
      <c r="D11" s="207">
        <f>Inputs!D40</f>
        <v>0.9</v>
      </c>
      <c r="E11" s="88">
        <f t="shared" ref="E11:E22" si="0">C11*D11</f>
        <v>155601.9</v>
      </c>
      <c r="F11" s="113"/>
      <c r="G11" s="87"/>
      <c r="H11" s="3" t="s">
        <v>39</v>
      </c>
      <c r="I11" s="40">
        <f>Inputs!C66</f>
        <v>0</v>
      </c>
      <c r="J11" s="87"/>
      <c r="K11" s="24"/>
    </row>
    <row r="12" spans="1:11" ht="14" x14ac:dyDescent="0.15">
      <c r="B12" s="1" t="s">
        <v>146</v>
      </c>
      <c r="C12" s="40">
        <f>Inputs!C41</f>
        <v>0</v>
      </c>
      <c r="D12" s="207">
        <f>Inputs!D41</f>
        <v>0.8</v>
      </c>
      <c r="E12" s="88">
        <f t="shared" si="0"/>
        <v>0</v>
      </c>
      <c r="F12" s="113"/>
      <c r="G12" s="87"/>
      <c r="H12" s="3" t="s">
        <v>40</v>
      </c>
      <c r="I12" s="40">
        <f>Inputs!C67</f>
        <v>33448</v>
      </c>
      <c r="J12" s="87"/>
      <c r="K12" s="24"/>
    </row>
    <row r="13" spans="1:11" ht="14" x14ac:dyDescent="0.15">
      <c r="B13" s="3" t="s">
        <v>121</v>
      </c>
      <c r="C13" s="40">
        <f>Inputs!C42</f>
        <v>100939</v>
      </c>
      <c r="D13" s="207">
        <f>Inputs!D42</f>
        <v>0.6</v>
      </c>
      <c r="E13" s="88">
        <f t="shared" si="0"/>
        <v>60563.399999999994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4" x14ac:dyDescent="0.15">
      <c r="B14" s="3" t="s">
        <v>42</v>
      </c>
      <c r="C14" s="40">
        <f>Inputs!C43</f>
        <v>176336</v>
      </c>
      <c r="D14" s="207">
        <f>Inputs!D43</f>
        <v>0.6</v>
      </c>
      <c r="E14" s="88">
        <f t="shared" si="0"/>
        <v>105801.59999999999</v>
      </c>
      <c r="F14" s="113"/>
      <c r="G14" s="87"/>
      <c r="H14" s="86" t="s">
        <v>43</v>
      </c>
      <c r="I14" s="214">
        <f>Inputs!C69</f>
        <v>0</v>
      </c>
      <c r="J14" s="87"/>
      <c r="K14" s="27"/>
    </row>
    <row r="15" spans="1:11" ht="14" x14ac:dyDescent="0.15">
      <c r="B15" s="3" t="s">
        <v>44</v>
      </c>
      <c r="C15" s="40">
        <f>Inputs!C44</f>
        <v>19344</v>
      </c>
      <c r="D15" s="207">
        <f>Inputs!D44</f>
        <v>0.5</v>
      </c>
      <c r="E15" s="88">
        <f t="shared" si="0"/>
        <v>9672</v>
      </c>
      <c r="F15" s="113"/>
      <c r="G15" s="87"/>
      <c r="H15" s="1" t="s">
        <v>54</v>
      </c>
      <c r="I15" s="84">
        <f>SUM(I11:I14)</f>
        <v>33448</v>
      </c>
      <c r="J15" s="87"/>
    </row>
    <row r="16" spans="1:11" ht="14" x14ac:dyDescent="0.15">
      <c r="B16" s="1" t="s">
        <v>170</v>
      </c>
      <c r="C16" s="40">
        <f>Inputs!C45</f>
        <v>22728</v>
      </c>
      <c r="D16" s="207">
        <f>Inputs!D45</f>
        <v>0.6</v>
      </c>
      <c r="E16" s="88">
        <f t="shared" si="0"/>
        <v>13636.8</v>
      </c>
      <c r="F16" s="113"/>
      <c r="G16" s="30"/>
      <c r="H16" s="3"/>
      <c r="I16" s="40"/>
      <c r="J16" s="87"/>
    </row>
    <row r="17" spans="2:10" ht="14" x14ac:dyDescent="0.15">
      <c r="B17" s="3" t="s">
        <v>122</v>
      </c>
      <c r="C17" s="40">
        <f>Inputs!C46</f>
        <v>28822</v>
      </c>
      <c r="D17" s="207">
        <f>Inputs!D46</f>
        <v>0.1</v>
      </c>
      <c r="E17" s="88">
        <f t="shared" si="0"/>
        <v>2882.2000000000003</v>
      </c>
      <c r="F17" s="113"/>
      <c r="G17" s="87"/>
      <c r="H17" s="3"/>
      <c r="I17" s="40"/>
      <c r="J17" s="87"/>
    </row>
    <row r="18" spans="2:10" ht="14" x14ac:dyDescent="0.15">
      <c r="B18" s="3" t="s">
        <v>47</v>
      </c>
      <c r="C18" s="40">
        <f>Inputs!C47</f>
        <v>12616</v>
      </c>
      <c r="D18" s="207">
        <f>Inputs!D47</f>
        <v>0.5</v>
      </c>
      <c r="E18" s="88">
        <f t="shared" si="0"/>
        <v>6308</v>
      </c>
      <c r="F18" s="113"/>
      <c r="G18" s="87"/>
      <c r="H18" s="87"/>
      <c r="I18" s="87"/>
    </row>
    <row r="19" spans="2:10" ht="14" x14ac:dyDescent="0.15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4" x14ac:dyDescent="0.15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4" x14ac:dyDescent="0.15">
      <c r="B21" s="3" t="s">
        <v>50</v>
      </c>
      <c r="C21" s="40">
        <f>Inputs!C50</f>
        <v>507</v>
      </c>
      <c r="D21" s="207">
        <f>Inputs!D50</f>
        <v>0.9</v>
      </c>
      <c r="E21" s="88">
        <f t="shared" si="0"/>
        <v>456.3</v>
      </c>
      <c r="F21" s="113"/>
      <c r="G21" s="87"/>
      <c r="H21" s="3"/>
      <c r="I21" s="40"/>
    </row>
    <row r="22" spans="2:10" ht="15" customHeight="1" x14ac:dyDescent="0.15">
      <c r="B22" s="3" t="s">
        <v>51</v>
      </c>
      <c r="C22" s="40">
        <f>Inputs!C51</f>
        <v>0</v>
      </c>
      <c r="D22" s="207">
        <f>Inputs!D51</f>
        <v>0.05</v>
      </c>
      <c r="E22" s="88">
        <f t="shared" si="0"/>
        <v>0</v>
      </c>
      <c r="F22" s="113"/>
      <c r="G22" s="87"/>
      <c r="H22" s="3" t="s">
        <v>45</v>
      </c>
      <c r="I22" s="52">
        <f>I28-SUM(I11:I14)</f>
        <v>520807</v>
      </c>
    </row>
    <row r="23" spans="2:10" ht="15" customHeight="1" x14ac:dyDescent="0.15">
      <c r="C23" s="87"/>
      <c r="D23" s="87"/>
      <c r="E23" s="87"/>
      <c r="F23" s="112" t="s">
        <v>52</v>
      </c>
      <c r="G23" s="87"/>
    </row>
    <row r="24" spans="2:10" ht="15" customHeight="1" x14ac:dyDescent="0.15">
      <c r="B24" s="23" t="s">
        <v>53</v>
      </c>
      <c r="C24" s="61">
        <f>SUM(C11:C14)</f>
        <v>450166</v>
      </c>
      <c r="D24" s="62">
        <f>IF(E24=0,0,E24/C24)</f>
        <v>0.71521816396618132</v>
      </c>
      <c r="E24" s="88">
        <f>SUM(E11:E14)</f>
        <v>321966.89999999997</v>
      </c>
      <c r="F24" s="114">
        <f>E24/$E$28</f>
        <v>0.90714782000111571</v>
      </c>
      <c r="G24" s="87"/>
    </row>
    <row r="25" spans="2:10" ht="15" customHeight="1" x14ac:dyDescent="0.15">
      <c r="B25" s="23" t="s">
        <v>55</v>
      </c>
      <c r="C25" s="61">
        <f>SUM(C15:C17)</f>
        <v>70894</v>
      </c>
      <c r="D25" s="62">
        <f>IF(E25=0,0,E25/C25)</f>
        <v>0.36943888058227775</v>
      </c>
      <c r="E25" s="88">
        <f>SUM(E15:E17)</f>
        <v>26191</v>
      </c>
      <c r="F25" s="114">
        <f>E25/$E$28</f>
        <v>7.3793637028058551E-2</v>
      </c>
      <c r="G25" s="87"/>
      <c r="H25" s="23" t="s">
        <v>56</v>
      </c>
      <c r="I25" s="63">
        <f>E28/I28</f>
        <v>0.64035904051384285</v>
      </c>
    </row>
    <row r="26" spans="2:10" ht="15" customHeight="1" x14ac:dyDescent="0.15">
      <c r="B26" s="23" t="s">
        <v>57</v>
      </c>
      <c r="C26" s="61">
        <f>C18+C19+C20</f>
        <v>12616</v>
      </c>
      <c r="D26" s="62">
        <f>IF(E26=0,0,E26/C26)</f>
        <v>0.5</v>
      </c>
      <c r="E26" s="88">
        <f>E18+E19+E20</f>
        <v>6308</v>
      </c>
      <c r="F26" s="114">
        <f>E26/$E$28</f>
        <v>1.7772909105150371E-2</v>
      </c>
      <c r="G26" s="87"/>
      <c r="H26" s="23" t="s">
        <v>58</v>
      </c>
      <c r="I26" s="63">
        <f>E24/($I$28-I22)</f>
        <v>9.6258939248983495</v>
      </c>
      <c r="J26" s="8" t="str">
        <f>IF(I26&lt;1,"Liquidity Problem!","")</f>
        <v/>
      </c>
    </row>
    <row r="27" spans="2:10" ht="15" customHeight="1" x14ac:dyDescent="0.15">
      <c r="B27" s="23" t="s">
        <v>59</v>
      </c>
      <c r="C27" s="77">
        <f>C21+C22</f>
        <v>507</v>
      </c>
      <c r="D27" s="62">
        <f>IF(E27=0,0,E27/C27)</f>
        <v>0.9</v>
      </c>
      <c r="E27" s="88">
        <f>E21+E22</f>
        <v>456.3</v>
      </c>
      <c r="F27" s="114">
        <f>E27/$E$28</f>
        <v>1.2856338656753511E-3</v>
      </c>
      <c r="G27" s="87"/>
      <c r="H27" s="23" t="s">
        <v>60</v>
      </c>
      <c r="I27" s="63">
        <f>(E25+E24)/$I$28</f>
        <v>0.62815473022345303</v>
      </c>
      <c r="J27" s="8" t="str">
        <f>IF(OR(I27&lt;0.75,C28&lt;I28),"Liquidity Issue!","")</f>
        <v>Liquidity Issue!</v>
      </c>
    </row>
    <row r="28" spans="2:10" ht="15" customHeight="1" x14ac:dyDescent="0.15">
      <c r="B28" s="78" t="s">
        <v>15</v>
      </c>
      <c r="C28" s="79">
        <f>SUM(C11:C22)</f>
        <v>534183</v>
      </c>
      <c r="D28" s="57">
        <f>E28/C28</f>
        <v>0.66442061989992185</v>
      </c>
      <c r="E28" s="70">
        <f>SUM(E24:E27)</f>
        <v>354922.19999999995</v>
      </c>
      <c r="F28" s="113"/>
      <c r="G28" s="87"/>
      <c r="H28" s="78" t="s">
        <v>16</v>
      </c>
      <c r="I28" s="215">
        <f>Inputs!C70</f>
        <v>554255</v>
      </c>
      <c r="J28" s="32">
        <f>IF(J26="",1,0)+IF(J27="",1,0)+IF(J46="",1,0)+IF(J47="",1,0)</f>
        <v>3</v>
      </c>
    </row>
    <row r="29" spans="2:10" ht="15" customHeight="1" x14ac:dyDescent="0.15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15">
      <c r="B30" s="3" t="s">
        <v>61</v>
      </c>
      <c r="C30" s="40">
        <f>Inputs!C52</f>
        <v>75495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0</v>
      </c>
      <c r="J30" s="87"/>
    </row>
    <row r="31" spans="2:10" ht="15" customHeight="1" x14ac:dyDescent="0.15">
      <c r="B31" s="3" t="s">
        <v>63</v>
      </c>
      <c r="C31" s="40">
        <f>Inputs!C53</f>
        <v>182795</v>
      </c>
      <c r="D31" s="207">
        <f>Inputs!D53</f>
        <v>0.6</v>
      </c>
      <c r="E31" s="88">
        <f t="shared" ref="E31:E42" si="1">C31*D31</f>
        <v>109677</v>
      </c>
      <c r="F31" s="113"/>
      <c r="G31" s="87"/>
      <c r="H31" s="3" t="s">
        <v>64</v>
      </c>
      <c r="I31" s="40">
        <f>Inputs!C72</f>
        <v>62222</v>
      </c>
      <c r="J31" s="87"/>
    </row>
    <row r="32" spans="2:10" ht="15" customHeight="1" x14ac:dyDescent="0.15">
      <c r="B32" s="3" t="s">
        <v>65</v>
      </c>
      <c r="C32" s="40">
        <f>Inputs!C54</f>
        <v>5625</v>
      </c>
      <c r="D32" s="207">
        <f>Inputs!D54</f>
        <v>0.5</v>
      </c>
      <c r="E32" s="88">
        <f t="shared" si="1"/>
        <v>2812.5</v>
      </c>
      <c r="F32" s="113"/>
      <c r="G32" s="87"/>
      <c r="H32" s="3" t="s">
        <v>66</v>
      </c>
      <c r="I32" s="40">
        <f>Inputs!C73</f>
        <v>0</v>
      </c>
      <c r="J32" s="87"/>
    </row>
    <row r="33" spans="2:10" ht="14" x14ac:dyDescent="0.15">
      <c r="B33" s="1" t="s">
        <v>171</v>
      </c>
      <c r="C33" s="40">
        <f>Inputs!C55</f>
        <v>0</v>
      </c>
      <c r="D33" s="207">
        <f>Inputs!D55</f>
        <v>0.5</v>
      </c>
      <c r="E33" s="88">
        <f t="shared" si="1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4" x14ac:dyDescent="0.15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62222</v>
      </c>
      <c r="J34" s="87"/>
    </row>
    <row r="35" spans="2:10" ht="14" x14ac:dyDescent="0.15">
      <c r="B35" s="3" t="s">
        <v>70</v>
      </c>
      <c r="C35" s="40">
        <f>Inputs!C57</f>
        <v>185013</v>
      </c>
      <c r="D35" s="207">
        <f>Inputs!D57</f>
        <v>0.1</v>
      </c>
      <c r="E35" s="88">
        <f t="shared" si="1"/>
        <v>18501.3</v>
      </c>
      <c r="F35" s="135" t="str">
        <f>Inputs!E57</f>
        <v>N</v>
      </c>
      <c r="G35" s="30">
        <f>IF(F35="Y",0,1)</f>
        <v>1</v>
      </c>
      <c r="J35" s="87"/>
    </row>
    <row r="36" spans="2:10" ht="14" x14ac:dyDescent="0.15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4" x14ac:dyDescent="0.15">
      <c r="B37" s="1" t="s">
        <v>49</v>
      </c>
      <c r="C37" s="40">
        <f>Inputs!C59</f>
        <v>94862</v>
      </c>
      <c r="D37" s="207">
        <f>Inputs!D59</f>
        <v>0.1</v>
      </c>
      <c r="E37" s="88">
        <f t="shared" si="1"/>
        <v>9486.2000000000007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15">
      <c r="B38" s="3" t="s">
        <v>123</v>
      </c>
      <c r="C38" s="40">
        <f>Inputs!C60</f>
        <v>781712</v>
      </c>
      <c r="D38" s="207">
        <f>Inputs!D60</f>
        <v>0.1</v>
      </c>
      <c r="E38" s="88">
        <f t="shared" si="1"/>
        <v>78171.199999999997</v>
      </c>
      <c r="F38" s="113"/>
      <c r="G38" s="87"/>
      <c r="H38" s="87"/>
      <c r="I38" s="87"/>
    </row>
    <row r="39" spans="2:10" ht="14" x14ac:dyDescent="0.15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15">
      <c r="B40" s="3" t="s">
        <v>74</v>
      </c>
      <c r="C40" s="40">
        <f>Inputs!C62</f>
        <v>34291</v>
      </c>
      <c r="D40" s="207">
        <f>Inputs!D62</f>
        <v>0.05</v>
      </c>
      <c r="E40" s="88">
        <f t="shared" si="1"/>
        <v>1714.5500000000002</v>
      </c>
      <c r="F40" s="113"/>
      <c r="G40" s="87"/>
      <c r="H40" s="87"/>
      <c r="I40" s="87"/>
    </row>
    <row r="41" spans="2:10" ht="15" customHeight="1" x14ac:dyDescent="0.15">
      <c r="B41" s="3" t="s">
        <v>75</v>
      </c>
      <c r="C41" s="40">
        <f>Inputs!C63</f>
        <v>47891</v>
      </c>
      <c r="D41" s="207">
        <f>Inputs!D63</f>
        <v>0.9</v>
      </c>
      <c r="E41" s="88">
        <f t="shared" si="1"/>
        <v>43101.9</v>
      </c>
      <c r="F41" s="113"/>
      <c r="G41" s="87"/>
      <c r="H41" s="87"/>
      <c r="I41" s="87"/>
    </row>
    <row r="42" spans="2:10" ht="15" customHeight="1" x14ac:dyDescent="0.15">
      <c r="B42" s="3" t="s">
        <v>76</v>
      </c>
      <c r="C42" s="40">
        <f>Inputs!C64</f>
        <v>79740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21261</v>
      </c>
    </row>
    <row r="43" spans="2:10" ht="15" customHeight="1" x14ac:dyDescent="0.15">
      <c r="C43" s="87"/>
      <c r="D43" s="87"/>
      <c r="E43" s="87"/>
      <c r="F43" s="87"/>
      <c r="G43" s="87"/>
      <c r="H43" s="87"/>
      <c r="I43" s="87"/>
    </row>
    <row r="44" spans="2:10" ht="15" customHeight="1" x14ac:dyDescent="0.15">
      <c r="B44" s="23" t="s">
        <v>77</v>
      </c>
      <c r="C44" s="61">
        <f>SUM(C30:C31)</f>
        <v>258290</v>
      </c>
      <c r="D44" s="62">
        <f>IF(E44=0,0,E44/C44)</f>
        <v>0.42462735684695496</v>
      </c>
      <c r="E44" s="88">
        <f>SUM(E30:E31)</f>
        <v>109677</v>
      </c>
      <c r="F44" s="72"/>
      <c r="G44" s="87"/>
    </row>
    <row r="45" spans="2:10" ht="15" customHeight="1" x14ac:dyDescent="0.15">
      <c r="B45" s="23" t="s">
        <v>79</v>
      </c>
      <c r="C45" s="61">
        <f>SUM(C32:C35)</f>
        <v>190638</v>
      </c>
      <c r="D45" s="62">
        <f>IF(E45=0,0,E45/C45)</f>
        <v>0.11180247379850816</v>
      </c>
      <c r="E45" s="88">
        <f>SUM(E32:E35)</f>
        <v>21313.8</v>
      </c>
      <c r="F45" s="72"/>
      <c r="G45" s="87"/>
    </row>
    <row r="46" spans="2:10" ht="15" customHeight="1" x14ac:dyDescent="0.15">
      <c r="B46" s="23" t="s">
        <v>80</v>
      </c>
      <c r="C46" s="61">
        <f>C36+C37+C38+C39</f>
        <v>876574</v>
      </c>
      <c r="D46" s="62">
        <f>IF(E46=0,0,E46/C46)</f>
        <v>9.9999999999999992E-2</v>
      </c>
      <c r="E46" s="88">
        <f>E36+E37+E38+E39</f>
        <v>87657.4</v>
      </c>
      <c r="F46" s="87"/>
      <c r="G46" s="87"/>
      <c r="H46" s="23" t="s">
        <v>81</v>
      </c>
      <c r="I46" s="63">
        <f>(E44+E24)/E64</f>
        <v>4.5117999372844144</v>
      </c>
      <c r="J46" s="8" t="str">
        <f>IF(I46&lt;1,"Liquidity Problem!","")</f>
        <v/>
      </c>
    </row>
    <row r="47" spans="2:10" ht="15" customHeight="1" x14ac:dyDescent="0.15">
      <c r="B47" s="23" t="s">
        <v>82</v>
      </c>
      <c r="C47" s="61">
        <f>C40+C41+C42</f>
        <v>161922</v>
      </c>
      <c r="D47" s="62">
        <f>IF(E47=0,0,E47/C47)</f>
        <v>0.27677801657588225</v>
      </c>
      <c r="E47" s="88">
        <f>E40+E41+E42</f>
        <v>44816.450000000004</v>
      </c>
      <c r="F47" s="87"/>
      <c r="G47" s="87"/>
      <c r="H47" s="23" t="s">
        <v>83</v>
      </c>
      <c r="I47" s="63">
        <f>(E44+E45+E24+E25)/$I$49</f>
        <v>0.75132530913948981</v>
      </c>
      <c r="J47" s="8" t="str">
        <f>IF(OR(I47&lt;0.5,C49&lt;I49),"Liquidity Issue!","")</f>
        <v/>
      </c>
    </row>
    <row r="48" spans="2:10" ht="15" customHeight="1" thickBot="1" x14ac:dyDescent="0.2">
      <c r="B48" s="80" t="s">
        <v>84</v>
      </c>
      <c r="C48" s="81">
        <f>SUM(C30:C42)</f>
        <v>1487424</v>
      </c>
      <c r="D48" s="82">
        <f>E48/C48</f>
        <v>0.17712814234542404</v>
      </c>
      <c r="E48" s="76">
        <f>SUM(E30:E42)</f>
        <v>263464.65000000002</v>
      </c>
      <c r="F48" s="87"/>
      <c r="G48" s="87"/>
      <c r="H48" s="80" t="s">
        <v>85</v>
      </c>
      <c r="I48" s="216">
        <f>Inputs!C75</f>
        <v>83483</v>
      </c>
      <c r="J48" s="8"/>
    </row>
    <row r="49" spans="2:11" ht="15" customHeight="1" thickTop="1" x14ac:dyDescent="0.15">
      <c r="B49" s="3" t="s">
        <v>14</v>
      </c>
      <c r="C49" s="61">
        <f>C28+C48</f>
        <v>2021607</v>
      </c>
      <c r="D49" s="56">
        <f>E49/C49</f>
        <v>0.30588875582642916</v>
      </c>
      <c r="E49" s="88">
        <f>E28+E48</f>
        <v>618386.85</v>
      </c>
      <c r="F49" s="87"/>
      <c r="G49" s="87"/>
      <c r="H49" s="3" t="s">
        <v>86</v>
      </c>
      <c r="I49" s="52">
        <f>I28+I48</f>
        <v>637738</v>
      </c>
      <c r="J49" s="87"/>
    </row>
    <row r="50" spans="2:11" ht="15" customHeight="1" x14ac:dyDescent="0.15">
      <c r="C50" s="87"/>
      <c r="D50" s="87"/>
      <c r="E50" s="87"/>
      <c r="I50" s="87"/>
    </row>
    <row r="51" spans="2:11" ht="14" x14ac:dyDescent="0.15">
      <c r="B51" s="10" t="s">
        <v>87</v>
      </c>
      <c r="C51" s="31"/>
      <c r="D51" s="18"/>
    </row>
    <row r="52" spans="2:11" ht="14" x14ac:dyDescent="0.15">
      <c r="B52" s="44" t="s">
        <v>88</v>
      </c>
      <c r="C52" s="87"/>
      <c r="D52" s="74" t="str">
        <f>IF(E53=D4,"BV of the MI","P/B Approach")</f>
        <v>P/B Approach</v>
      </c>
      <c r="E52" s="87"/>
      <c r="F52" s="87"/>
      <c r="G52" s="87"/>
      <c r="I52" s="87"/>
      <c r="K52" s="50" t="s">
        <v>8</v>
      </c>
    </row>
    <row r="53" spans="2:11" ht="14" x14ac:dyDescent="0.15">
      <c r="B53" s="3" t="s">
        <v>89</v>
      </c>
      <c r="C53" s="88">
        <f>MAX(D4,0)</f>
        <v>4325</v>
      </c>
      <c r="D53" s="29">
        <f>IF(E53=0, 0,E53/C53)</f>
        <v>1.0177169565481883</v>
      </c>
      <c r="E53" s="88">
        <f>IF(C53=0,0,MAX(C53,C53*Dashboard!G23))</f>
        <v>4401.6258370709147</v>
      </c>
      <c r="F53" s="87"/>
      <c r="G53" s="87"/>
      <c r="I53" s="41"/>
      <c r="K53" s="33"/>
    </row>
    <row r="54" spans="2:11" ht="15" customHeight="1" x14ac:dyDescent="0.15">
      <c r="C54" s="87"/>
      <c r="D54" s="87"/>
      <c r="E54" s="87"/>
      <c r="F54" s="87"/>
      <c r="G54" s="87"/>
      <c r="I54" s="87"/>
      <c r="K54" s="33"/>
    </row>
    <row r="55" spans="2:11" ht="14" x14ac:dyDescent="0.15">
      <c r="B55" s="25" t="s">
        <v>161</v>
      </c>
      <c r="C55" s="3"/>
      <c r="E55" s="126"/>
      <c r="F55" s="3"/>
      <c r="G55" s="3"/>
      <c r="I55" s="87"/>
      <c r="K55" s="33"/>
    </row>
    <row r="56" spans="2:11" ht="14" x14ac:dyDescent="0.15">
      <c r="B56" s="20" t="s">
        <v>90</v>
      </c>
      <c r="C56" s="87"/>
      <c r="D56" s="253">
        <f>I15+I34</f>
        <v>95670</v>
      </c>
      <c r="E56" s="251"/>
      <c r="F56" s="3"/>
      <c r="G56" s="3"/>
      <c r="I56" s="56"/>
      <c r="K56" s="33"/>
    </row>
    <row r="57" spans="2:11" ht="14" x14ac:dyDescent="0.15">
      <c r="B57" s="20" t="s">
        <v>91</v>
      </c>
      <c r="C57" s="87"/>
      <c r="D57" s="252">
        <f>Inputs!C77</f>
        <v>0</v>
      </c>
      <c r="E57" s="251"/>
      <c r="G57" s="87"/>
      <c r="I57" s="87"/>
      <c r="K57" s="33" t="s">
        <v>92</v>
      </c>
    </row>
    <row r="58" spans="2:11" ht="12.75" customHeight="1" x14ac:dyDescent="0.15">
      <c r="B58" s="20" t="s">
        <v>93</v>
      </c>
      <c r="C58" s="87"/>
      <c r="D58" s="252">
        <f>Inputs!C78</f>
        <v>0</v>
      </c>
      <c r="E58" s="251"/>
      <c r="F58" s="3"/>
      <c r="G58" s="3"/>
      <c r="I58" s="87"/>
      <c r="K58" s="33"/>
    </row>
    <row r="59" spans="2:11" ht="15" customHeight="1" x14ac:dyDescent="0.15">
      <c r="C59" s="87"/>
      <c r="D59" s="87"/>
      <c r="E59" s="87"/>
      <c r="F59" s="87"/>
      <c r="G59" s="87"/>
      <c r="I59" s="87"/>
      <c r="K59" s="33"/>
    </row>
    <row r="60" spans="2:11" ht="14" x14ac:dyDescent="0.15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15">
      <c r="B61" s="19" t="s">
        <v>95</v>
      </c>
      <c r="C61" s="68">
        <f>C14+C15+(C19*G19)+(C20*G20)+C31+C32+(C35*G35)+(C36*G36)+(C37*G37)</f>
        <v>569113</v>
      </c>
      <c r="D61" s="56">
        <f t="shared" ref="D61:D70" si="2">IF(E61=0,0,E61/C61)</f>
        <v>0.43306759817470336</v>
      </c>
      <c r="E61" s="52">
        <f>E14+E15+(E19*G19)+(E20*G20)+E31+E32+(E35*G35)+(E36*G36)+(E37*G37)</f>
        <v>246464.39999999997</v>
      </c>
      <c r="F61" s="87"/>
      <c r="G61" s="87"/>
      <c r="I61" s="87"/>
      <c r="K61" s="33"/>
    </row>
    <row r="62" spans="2:11" ht="14" x14ac:dyDescent="0.15">
      <c r="B62" s="35" t="s">
        <v>150</v>
      </c>
      <c r="C62" s="118">
        <f>C11+C30</f>
        <v>248386</v>
      </c>
      <c r="D62" s="108">
        <f t="shared" si="2"/>
        <v>0.62645197394378105</v>
      </c>
      <c r="E62" s="119">
        <f>E11+E30</f>
        <v>155601.9</v>
      </c>
      <c r="F62" s="87"/>
      <c r="G62" s="87"/>
      <c r="I62" s="87"/>
      <c r="K62" s="33"/>
    </row>
    <row r="63" spans="2:11" ht="14" x14ac:dyDescent="0.15">
      <c r="B63" s="19" t="s">
        <v>152</v>
      </c>
      <c r="C63" s="68">
        <f>C61+C62</f>
        <v>817499</v>
      </c>
      <c r="D63" s="29">
        <f t="shared" si="2"/>
        <v>0.49182482180406328</v>
      </c>
      <c r="E63" s="61">
        <f>E61+E62</f>
        <v>402066.29999999993</v>
      </c>
      <c r="F63" s="87"/>
      <c r="G63" s="87"/>
      <c r="I63" s="87"/>
      <c r="K63" s="33"/>
    </row>
    <row r="64" spans="2:11" thickBot="1" x14ac:dyDescent="0.2">
      <c r="B64" s="122" t="s">
        <v>162</v>
      </c>
      <c r="C64" s="217"/>
      <c r="D64" s="217"/>
      <c r="E64" s="69">
        <f>D56+D57+D58</f>
        <v>95670</v>
      </c>
      <c r="F64" s="87"/>
      <c r="G64" s="87"/>
      <c r="I64" s="87"/>
      <c r="K64" s="33"/>
    </row>
    <row r="65" spans="1:11" thickTop="1" x14ac:dyDescent="0.15">
      <c r="B65" s="3" t="s">
        <v>153</v>
      </c>
      <c r="C65" s="68">
        <f>C63-E64</f>
        <v>721829</v>
      </c>
      <c r="D65" s="29">
        <f t="shared" si="2"/>
        <v>0.42447213952334961</v>
      </c>
      <c r="E65" s="61">
        <f>E63-E64</f>
        <v>306396.29999999993</v>
      </c>
      <c r="F65" s="87"/>
      <c r="G65" s="87"/>
      <c r="I65" s="87"/>
      <c r="K65" s="33"/>
    </row>
    <row r="66" spans="1:11" ht="14" x14ac:dyDescent="0.15">
      <c r="B66" s="3"/>
      <c r="C66" s="68"/>
      <c r="D66" s="29"/>
      <c r="E66" s="61"/>
      <c r="F66" s="87"/>
      <c r="G66" s="87"/>
      <c r="I66" s="87"/>
      <c r="K66" s="33"/>
    </row>
    <row r="67" spans="1:11" ht="14" x14ac:dyDescent="0.15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4" x14ac:dyDescent="0.15">
      <c r="B68" s="19" t="s">
        <v>151</v>
      </c>
      <c r="C68" s="68">
        <f>C49-C63</f>
        <v>1204108</v>
      </c>
      <c r="D68" s="29">
        <f t="shared" si="2"/>
        <v>0.17965211592315644</v>
      </c>
      <c r="E68" s="68">
        <f>E49-E63</f>
        <v>216320.55000000005</v>
      </c>
      <c r="F68" s="87"/>
      <c r="G68" s="87"/>
      <c r="I68" s="87"/>
      <c r="K68" s="33"/>
    </row>
    <row r="69" spans="1:11" thickBot="1" x14ac:dyDescent="0.2">
      <c r="B69" s="122" t="s">
        <v>163</v>
      </c>
      <c r="C69" s="217"/>
      <c r="D69" s="217"/>
      <c r="E69" s="127">
        <f>I49-E64</f>
        <v>542068</v>
      </c>
      <c r="F69" s="87"/>
      <c r="G69" s="87"/>
      <c r="I69" s="87"/>
      <c r="K69" s="33"/>
    </row>
    <row r="70" spans="1:11" thickTop="1" x14ac:dyDescent="0.15">
      <c r="B70" s="19" t="s">
        <v>154</v>
      </c>
      <c r="C70" s="68">
        <f>C68-E69</f>
        <v>662040</v>
      </c>
      <c r="D70" s="29">
        <f t="shared" si="2"/>
        <v>-0.49203590417497423</v>
      </c>
      <c r="E70" s="68">
        <f>E68-E69</f>
        <v>-325747.44999999995</v>
      </c>
      <c r="F70" s="87"/>
      <c r="G70" s="87"/>
      <c r="I70" s="87"/>
      <c r="K70" s="33"/>
    </row>
    <row r="72" spans="1:11" ht="15" customHeight="1" x14ac:dyDescent="0.15">
      <c r="A72" s="5"/>
      <c r="B72" s="107" t="s">
        <v>137</v>
      </c>
      <c r="C72" s="256">
        <f>Data!C5</f>
        <v>45291</v>
      </c>
      <c r="D72" s="256"/>
      <c r="E72" s="254" t="s">
        <v>226</v>
      </c>
      <c r="F72" s="254"/>
      <c r="H72" s="254" t="s">
        <v>225</v>
      </c>
      <c r="I72" s="254"/>
      <c r="K72" s="50" t="s">
        <v>8</v>
      </c>
    </row>
    <row r="73" spans="1:11" ht="15" customHeight="1" x14ac:dyDescent="0.15">
      <c r="B73" s="12" t="str">
        <f>"(Numbers in "&amp;Data!C4&amp;Dashboard!G6&amp;")"</f>
        <v>(Numbers in 1000000CNY)</v>
      </c>
      <c r="C73" s="255" t="s">
        <v>103</v>
      </c>
      <c r="D73" s="255"/>
      <c r="E73" s="257" t="s">
        <v>104</v>
      </c>
      <c r="F73" s="255"/>
      <c r="H73" s="257" t="s">
        <v>104</v>
      </c>
      <c r="I73" s="255"/>
      <c r="K73" s="24"/>
    </row>
    <row r="74" spans="1:11" ht="15" customHeight="1" x14ac:dyDescent="0.15">
      <c r="B74" s="3" t="s">
        <v>136</v>
      </c>
      <c r="C74" s="77">
        <f>Data!C6</f>
        <v>1009309</v>
      </c>
      <c r="D74" s="218"/>
      <c r="E74" s="205">
        <f>H74</f>
        <v>1009309</v>
      </c>
      <c r="F74" s="218"/>
      <c r="H74" s="205">
        <f>C74</f>
        <v>1009309</v>
      </c>
      <c r="I74" s="218"/>
      <c r="K74" s="24"/>
    </row>
    <row r="75" spans="1:11" ht="15" customHeight="1" x14ac:dyDescent="0.15">
      <c r="B75" s="105" t="s">
        <v>109</v>
      </c>
      <c r="C75" s="77">
        <f>Data!C8</f>
        <v>0</v>
      </c>
      <c r="D75" s="164">
        <f>C75/$C$74</f>
        <v>0</v>
      </c>
      <c r="E75" s="186">
        <f>E74*F75</f>
        <v>0</v>
      </c>
      <c r="F75" s="165">
        <f>I75</f>
        <v>0</v>
      </c>
      <c r="H75" s="205">
        <f>D75*H74</f>
        <v>0</v>
      </c>
      <c r="I75" s="165">
        <f>H75/$H$74</f>
        <v>0</v>
      </c>
      <c r="K75" s="24"/>
    </row>
    <row r="76" spans="1:11" ht="15" customHeight="1" x14ac:dyDescent="0.15">
      <c r="B76" s="35" t="s">
        <v>96</v>
      </c>
      <c r="C76" s="166">
        <f>C74-C75</f>
        <v>1009309</v>
      </c>
      <c r="D76" s="219"/>
      <c r="E76" s="167">
        <f>E74-E75</f>
        <v>1009309</v>
      </c>
      <c r="F76" s="219"/>
      <c r="H76" s="167">
        <f>H74-H75</f>
        <v>1009309</v>
      </c>
      <c r="I76" s="219"/>
      <c r="K76" s="24"/>
    </row>
    <row r="77" spans="1:11" ht="15" customHeight="1" x14ac:dyDescent="0.15">
      <c r="B77" s="105" t="s">
        <v>133</v>
      </c>
      <c r="C77" s="77">
        <f>Data!C10-MAX(Data!C12,0)</f>
        <v>667831</v>
      </c>
      <c r="D77" s="164">
        <f>C77/$C$74</f>
        <v>0.66167150000644004</v>
      </c>
      <c r="E77" s="186">
        <f>E74*F77</f>
        <v>667831</v>
      </c>
      <c r="F77" s="165">
        <f>I77</f>
        <v>0.66167150000644004</v>
      </c>
      <c r="H77" s="205">
        <f>D77*H74</f>
        <v>667831</v>
      </c>
      <c r="I77" s="165">
        <f>H77/$H$74</f>
        <v>0.66167150000644004</v>
      </c>
      <c r="K77" s="24"/>
    </row>
    <row r="78" spans="1:11" ht="15" customHeight="1" x14ac:dyDescent="0.15">
      <c r="B78" s="35" t="s">
        <v>97</v>
      </c>
      <c r="C78" s="166">
        <f>C76-C77</f>
        <v>341478</v>
      </c>
      <c r="D78" s="219"/>
      <c r="E78" s="167">
        <f>E76-E77</f>
        <v>341478</v>
      </c>
      <c r="F78" s="219"/>
      <c r="H78" s="167">
        <f>H76-H77</f>
        <v>341478</v>
      </c>
      <c r="I78" s="219"/>
      <c r="K78" s="24"/>
    </row>
    <row r="79" spans="1:11" ht="15" customHeight="1" x14ac:dyDescent="0.15">
      <c r="B79" s="105" t="s">
        <v>129</v>
      </c>
      <c r="C79" s="77">
        <f>MAX(Data!C17,0)</f>
        <v>3730</v>
      </c>
      <c r="D79" s="164">
        <f>C79/$C$74</f>
        <v>3.6955976811858409E-3</v>
      </c>
      <c r="E79" s="186">
        <f>E74*F79</f>
        <v>3730</v>
      </c>
      <c r="F79" s="165">
        <f t="shared" ref="F79:F84" si="3">I79</f>
        <v>3.6955976811858409E-3</v>
      </c>
      <c r="H79" s="205">
        <f>C79</f>
        <v>3730</v>
      </c>
      <c r="I79" s="165">
        <f>H79/$H$74</f>
        <v>3.6955976811858409E-3</v>
      </c>
      <c r="K79" s="24"/>
    </row>
    <row r="80" spans="1:11" ht="15" customHeight="1" x14ac:dyDescent="0.15">
      <c r="B80" s="28" t="s">
        <v>135</v>
      </c>
      <c r="C80" s="77">
        <f>MAX(Data!C14,0)+MAX(Data!C15,0)</f>
        <v>181263</v>
      </c>
      <c r="D80" s="164">
        <f>C80/$C$74</f>
        <v>0.17959118565275847</v>
      </c>
      <c r="E80" s="186">
        <f>E74*F80</f>
        <v>181263</v>
      </c>
      <c r="F80" s="165">
        <f t="shared" si="3"/>
        <v>0.17959118565275847</v>
      </c>
      <c r="H80" s="205">
        <f>H74*D80</f>
        <v>181263</v>
      </c>
      <c r="I80" s="165">
        <f>H80/$H$74</f>
        <v>0.17959118565275847</v>
      </c>
      <c r="K80" s="24"/>
    </row>
    <row r="81" spans="1:11" ht="15" customHeight="1" x14ac:dyDescent="0.15">
      <c r="B81" s="28" t="s">
        <v>113</v>
      </c>
      <c r="C81" s="77">
        <f>MAX(Data!C16,0)</f>
        <v>22422</v>
      </c>
      <c r="D81" s="164">
        <f>C81/$C$74</f>
        <v>2.2215198715160572E-2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15">
      <c r="B82" s="73" t="s">
        <v>186</v>
      </c>
      <c r="C82" s="77">
        <f>MAX(Data!C18,0)</f>
        <v>169</v>
      </c>
      <c r="D82" s="164">
        <f>C82/$C$74</f>
        <v>1.6744128904032363E-4</v>
      </c>
      <c r="E82" s="186">
        <f>E74*F82</f>
        <v>169</v>
      </c>
      <c r="F82" s="165">
        <f t="shared" si="3"/>
        <v>1.6744128904032363E-4</v>
      </c>
      <c r="H82" s="205">
        <f>H74*D82</f>
        <v>169</v>
      </c>
      <c r="I82" s="165">
        <f>H82/$H$74</f>
        <v>1.6744128904032363E-4</v>
      </c>
      <c r="K82" s="24"/>
    </row>
    <row r="83" spans="1:11" ht="15" customHeight="1" thickBot="1" x14ac:dyDescent="0.2">
      <c r="B83" s="106" t="s">
        <v>134</v>
      </c>
      <c r="C83" s="168">
        <f>C78-C79-C80-C81-C82</f>
        <v>133894</v>
      </c>
      <c r="D83" s="169">
        <f>C83/$C$74</f>
        <v>0.13265907665541474</v>
      </c>
      <c r="E83" s="170">
        <f>E78-E79-E80-E81-E82</f>
        <v>156316</v>
      </c>
      <c r="F83" s="169">
        <f>E83/E74</f>
        <v>0.15487427537057533</v>
      </c>
      <c r="H83" s="170">
        <f>H78-H79-H80-H81-H82</f>
        <v>156316</v>
      </c>
      <c r="I83" s="169">
        <f>H83/$H$74</f>
        <v>0.15487427537057533</v>
      </c>
      <c r="K83" s="24"/>
    </row>
    <row r="84" spans="1:11" ht="15" customHeight="1" thickTop="1" x14ac:dyDescent="0.15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15">
      <c r="B85" s="86" t="s">
        <v>176</v>
      </c>
      <c r="C85" s="166">
        <f>C83*(1-I84)</f>
        <v>100420.5</v>
      </c>
      <c r="D85" s="171">
        <f>C85/$C$74</f>
        <v>9.949430749156106E-2</v>
      </c>
      <c r="E85" s="172">
        <f>E83*(1-F84)</f>
        <v>117237</v>
      </c>
      <c r="F85" s="171">
        <f>E85/E74</f>
        <v>0.11615570652793149</v>
      </c>
      <c r="H85" s="172">
        <f>H83*(1-I84)</f>
        <v>117237</v>
      </c>
      <c r="I85" s="171">
        <f>H85/$H$74</f>
        <v>0.11615570652793149</v>
      </c>
      <c r="K85" s="24"/>
    </row>
    <row r="86" spans="1:11" ht="15" customHeight="1" x14ac:dyDescent="0.15">
      <c r="B86" s="87" t="s">
        <v>172</v>
      </c>
      <c r="C86" s="173">
        <f>C85*Data!C4/Common_Shares</f>
        <v>4.6747063985720096</v>
      </c>
      <c r="D86" s="218"/>
      <c r="E86" s="174">
        <f>E85*Data!C4/Common_Shares</f>
        <v>5.4575365990946736</v>
      </c>
      <c r="F86" s="218"/>
      <c r="H86" s="174">
        <f>H85*Data!C4/Common_Shares</f>
        <v>5.4575365990946736</v>
      </c>
      <c r="I86" s="218"/>
      <c r="K86" s="24"/>
    </row>
    <row r="87" spans="1:11" ht="15" customHeight="1" x14ac:dyDescent="0.15">
      <c r="B87" s="87" t="s">
        <v>228</v>
      </c>
      <c r="C87" s="165">
        <f>C86*Exchange_Rate/Dashboard!G3</f>
        <v>7.1301782665683405E-2</v>
      </c>
      <c r="D87" s="218"/>
      <c r="E87" s="239">
        <f>E86*Exchange_Rate/Dashboard!G3</f>
        <v>8.3242038173248753E-2</v>
      </c>
      <c r="F87" s="218"/>
      <c r="H87" s="239">
        <f>H86*Exchange_Rate/Dashboard!G3</f>
        <v>8.3242038173248753E-2</v>
      </c>
      <c r="I87" s="218"/>
      <c r="K87" s="24"/>
    </row>
    <row r="88" spans="1:11" ht="15" customHeight="1" x14ac:dyDescent="0.15">
      <c r="B88" s="86" t="s">
        <v>227</v>
      </c>
      <c r="C88" s="175">
        <f>Inputs!F5</f>
        <v>4.548</v>
      </c>
      <c r="D88" s="171">
        <f>C88/C86</f>
        <v>0.972895324803561</v>
      </c>
      <c r="E88" s="204">
        <f>H88</f>
        <v>4.548</v>
      </c>
      <c r="F88" s="171">
        <f>E88/E86</f>
        <v>0.83334301427395785</v>
      </c>
      <c r="H88" s="176">
        <f>Inputs!F6</f>
        <v>4.548</v>
      </c>
      <c r="I88" s="171">
        <f>H88/H86</f>
        <v>0.83334301427395785</v>
      </c>
      <c r="K88" s="24"/>
    </row>
    <row r="89" spans="1:11" ht="15" customHeight="1" x14ac:dyDescent="0.15">
      <c r="B89" s="87" t="s">
        <v>245</v>
      </c>
      <c r="C89" s="165">
        <f>C88*Exchange_Rate/Dashboard!G3</f>
        <v>6.9369171005602984E-2</v>
      </c>
      <c r="D89" s="218"/>
      <c r="E89" s="165">
        <f>E88*Exchange_Rate/Dashboard!G3</f>
        <v>6.9369171005602984E-2</v>
      </c>
      <c r="F89" s="218"/>
      <c r="H89" s="165">
        <f>H88*Exchange_Rate/Dashboard!G3</f>
        <v>6.9369171005602984E-2</v>
      </c>
      <c r="I89" s="218"/>
      <c r="K89" s="24"/>
    </row>
    <row r="90" spans="1:11" ht="15" customHeight="1" x14ac:dyDescent="0.15">
      <c r="B90" s="28"/>
      <c r="C90" s="88"/>
    </row>
    <row r="91" spans="1:11" ht="15" customHeight="1" x14ac:dyDescent="0.15">
      <c r="A91" s="5"/>
      <c r="B91" s="107" t="s">
        <v>166</v>
      </c>
      <c r="C91" s="21"/>
      <c r="K91" s="50" t="s">
        <v>143</v>
      </c>
    </row>
    <row r="92" spans="1:11" ht="15" customHeight="1" x14ac:dyDescent="0.15">
      <c r="B92" s="10" t="s">
        <v>167</v>
      </c>
      <c r="C92" s="207" t="str">
        <f>Inputs!C15</f>
        <v>CN</v>
      </c>
      <c r="D92" s="10" t="s">
        <v>168</v>
      </c>
      <c r="E92" s="254" t="s">
        <v>226</v>
      </c>
      <c r="F92" s="254"/>
      <c r="G92" s="87"/>
      <c r="H92" s="254" t="s">
        <v>225</v>
      </c>
      <c r="I92" s="254"/>
      <c r="K92" s="24"/>
    </row>
    <row r="93" spans="1:11" ht="15" customHeight="1" x14ac:dyDescent="0.15">
      <c r="B93" s="1" t="str">
        <f>C92&amp;" Required Return"</f>
        <v>CN Required Return</v>
      </c>
      <c r="C93" s="137">
        <f>IF(C92="CN",Dashboard!C17,IF(C92="US",Dashboard!C12,IF(C92="HK",Dashboard!D12,Dashboard!D17)))</f>
        <v>7.1999999999999995E-2</v>
      </c>
      <c r="D93" s="206">
        <v>5</v>
      </c>
      <c r="E93" s="87" t="s">
        <v>229</v>
      </c>
      <c r="F93" s="146">
        <f>FV(E87,D93,0,-(E86/C93))</f>
        <v>113.05549834282016</v>
      </c>
      <c r="H93" s="87" t="s">
        <v>229</v>
      </c>
      <c r="I93" s="146">
        <f>FV(H87,D93,0,-(H86/C93))</f>
        <v>113.05549834282016</v>
      </c>
      <c r="K93" s="24"/>
    </row>
    <row r="94" spans="1:11" ht="15" customHeight="1" x14ac:dyDescent="0.15">
      <c r="B94" s="1" t="s">
        <v>231</v>
      </c>
      <c r="C94" s="188">
        <f>Dashboard!G20</f>
        <v>0.25</v>
      </c>
      <c r="D94" s="147"/>
      <c r="E94" s="87" t="s">
        <v>230</v>
      </c>
      <c r="F94" s="146">
        <f>FV(E89,D93,0,-(E88/C93))</f>
        <v>88.333666577865515</v>
      </c>
      <c r="H94" s="87" t="s">
        <v>230</v>
      </c>
      <c r="I94" s="146">
        <f>FV(H89,D93,0,-(H88/C93))</f>
        <v>88.333666577865515</v>
      </c>
      <c r="K94" s="24"/>
    </row>
    <row r="95" spans="1:11" ht="15" customHeight="1" x14ac:dyDescent="0.15">
      <c r="E95" s="24"/>
      <c r="K95" s="24"/>
    </row>
    <row r="96" spans="1:11" ht="15" customHeight="1" x14ac:dyDescent="0.15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234</v>
      </c>
      <c r="F96" s="189" t="str">
        <f>E72</f>
        <v>Pessimistic Case</v>
      </c>
      <c r="H96" s="189" t="str">
        <f>H72</f>
        <v>Base Case</v>
      </c>
      <c r="I96" s="125" t="s">
        <v>233</v>
      </c>
      <c r="K96" s="24"/>
    </row>
    <row r="97" spans="2:11" ht="15" customHeight="1" x14ac:dyDescent="0.15">
      <c r="B97" s="1" t="s">
        <v>140</v>
      </c>
      <c r="C97" s="91">
        <f>H97*Common_Shares/Data!C4</f>
        <v>1843371.3309824422</v>
      </c>
      <c r="E97" s="124">
        <f>PV(C94,D93,0,-F93)*Exchange_Rate</f>
        <v>39.807843450808683</v>
      </c>
      <c r="F97" s="124">
        <f>PV(C93,D93,0,-F93)*Exchange_Rate</f>
        <v>85.811360786769868</v>
      </c>
      <c r="H97" s="124">
        <f>PV(C93,D93,0,-I93)*Exchange_Rate</f>
        <v>85.811360786769868</v>
      </c>
      <c r="I97" s="224"/>
      <c r="K97" s="24"/>
    </row>
    <row r="98" spans="2:11" ht="15" customHeight="1" x14ac:dyDescent="0.15">
      <c r="B98" s="28" t="s">
        <v>155</v>
      </c>
      <c r="C98" s="91">
        <f>E53*Exchange_Rate</f>
        <v>4729.7713845040016</v>
      </c>
      <c r="E98" s="222"/>
      <c r="F98" s="222"/>
      <c r="H98" s="124">
        <f>C98*Data!$C$4/Common_Shares</f>
        <v>0.22017708092395127</v>
      </c>
      <c r="I98" s="224"/>
      <c r="K98" s="24"/>
    </row>
    <row r="99" spans="2:11" ht="15" customHeight="1" thickBot="1" x14ac:dyDescent="0.2">
      <c r="B99" s="106" t="s">
        <v>156</v>
      </c>
      <c r="C99" s="109">
        <f>(E65+MIN(0,E70))*Exchange_Rate</f>
        <v>-20793.797318345332</v>
      </c>
      <c r="E99" s="223"/>
      <c r="F99" s="148">
        <f>IF(H99&gt;0,H99*0.85,H99*1.15)</f>
        <v>-1.1131754171795616</v>
      </c>
      <c r="H99" s="148">
        <f>C99*Data!$C$4/Common_Shares</f>
        <v>-0.96797862363440146</v>
      </c>
      <c r="I99" s="225"/>
      <c r="K99" s="24"/>
    </row>
    <row r="100" spans="2:11" ht="15" customHeight="1" thickTop="1" x14ac:dyDescent="0.15">
      <c r="B100" s="1" t="s">
        <v>119</v>
      </c>
      <c r="C100" s="91">
        <f>C97-C98+$C$99</f>
        <v>1817847.7622795929</v>
      </c>
      <c r="E100" s="110">
        <f>MAX(E97-H98+F99,0)</f>
        <v>38.474490952705168</v>
      </c>
      <c r="F100" s="110">
        <f>MAX(F97-H98+F99,0)</f>
        <v>84.478008288666359</v>
      </c>
      <c r="H100" s="110">
        <f>MAX(C100*Data!$C$4/Common_Shares,0)</f>
        <v>84.623205082211527</v>
      </c>
      <c r="I100" s="110">
        <f>H100*1.25</f>
        <v>105.77900635276441</v>
      </c>
      <c r="K100" s="24"/>
    </row>
    <row r="101" spans="2:11" ht="15" customHeight="1" x14ac:dyDescent="0.15">
      <c r="F101" s="24"/>
      <c r="K101" s="24"/>
    </row>
    <row r="102" spans="2:11" ht="15" customHeight="1" x14ac:dyDescent="0.15">
      <c r="B102" s="10" t="s">
        <v>174</v>
      </c>
      <c r="C102" s="128" t="str">
        <f>C96</f>
        <v>HKD</v>
      </c>
      <c r="E102" s="125" t="s">
        <v>234</v>
      </c>
      <c r="F102" s="189" t="str">
        <f>F96</f>
        <v>Pessimistic Case</v>
      </c>
      <c r="H102" s="189" t="str">
        <f>H96</f>
        <v>Base Case</v>
      </c>
      <c r="I102" s="125" t="s">
        <v>233</v>
      </c>
      <c r="K102" s="24"/>
    </row>
    <row r="103" spans="2:11" ht="15" customHeight="1" x14ac:dyDescent="0.15">
      <c r="B103" s="1" t="s">
        <v>173</v>
      </c>
      <c r="C103" s="91">
        <f>H103*Common_Shares/Data!C4</f>
        <v>1440281.551246996</v>
      </c>
      <c r="E103" s="110">
        <f>PV(C94,D93,0,-F94)*Exchange_Rate</f>
        <v>31.103067273250556</v>
      </c>
      <c r="F103" s="124">
        <f>PV(C93,D93,0,-F94)*Exchange_Rate</f>
        <v>67.047001193576534</v>
      </c>
      <c r="H103" s="124">
        <f>PV(C93,D93,0,-I94)*Exchange_Rate</f>
        <v>67.047001193576534</v>
      </c>
      <c r="I103" s="110">
        <f>H103*1.25</f>
        <v>83.808751491970668</v>
      </c>
      <c r="K103" s="24"/>
    </row>
    <row r="104" spans="2:11" ht="15" customHeight="1" x14ac:dyDescent="0.15">
      <c r="F104" s="24"/>
      <c r="K104" s="24"/>
    </row>
    <row r="105" spans="2:11" ht="15" customHeight="1" x14ac:dyDescent="0.15">
      <c r="B105" s="10" t="s">
        <v>214</v>
      </c>
      <c r="C105" s="128" t="str">
        <f>C102</f>
        <v>HKD</v>
      </c>
      <c r="E105" s="125" t="s">
        <v>234</v>
      </c>
      <c r="F105" s="190" t="s">
        <v>224</v>
      </c>
      <c r="H105" s="190" t="s">
        <v>224</v>
      </c>
      <c r="I105" s="125" t="s">
        <v>233</v>
      </c>
      <c r="K105" s="24"/>
    </row>
    <row r="106" spans="2:11" ht="15" customHeight="1" x14ac:dyDescent="0.15">
      <c r="B106" s="1" t="s">
        <v>215</v>
      </c>
      <c r="C106" s="91">
        <f>F106*Common_Shares/Data!C4</f>
        <v>1627505.1219644188</v>
      </c>
      <c r="E106" s="110">
        <f>(E100+E103)/2</f>
        <v>34.788779112977863</v>
      </c>
      <c r="F106" s="124">
        <f>(F100+F103)/2</f>
        <v>75.762504741121447</v>
      </c>
      <c r="H106" s="124">
        <f>(H100+H103)/2</f>
        <v>75.835103137894038</v>
      </c>
      <c r="I106" s="110">
        <f>H106*1.25</f>
        <v>94.793878922367554</v>
      </c>
      <c r="K106" s="24"/>
    </row>
    <row r="107" spans="2:11" ht="15" customHeight="1" x14ac:dyDescent="0.15">
      <c r="K107" s="24"/>
    </row>
    <row r="108" spans="2:11" ht="15" customHeight="1" x14ac:dyDescent="0.15">
      <c r="B108" s="10" t="s">
        <v>177</v>
      </c>
      <c r="C108" s="191" t="s">
        <v>249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2024-11-24T23:18:31Z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