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92FE354A-DFDE-194D-9995-52577B03AD9F}" xr6:coauthVersionLast="47" xr6:coauthVersionMax="47" xr10:uidLastSave="{00000000-0000-0000-0000-000000000000}"/>
  <bookViews>
    <workbookView xWindow="360" yWindow="360" windowWidth="1268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<sst xmlns="http://schemas.openxmlformats.org/spreadsheetml/2006/main" count="350" uniqueCount="249">
  <si>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</si>
  <si>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</si>
  <si>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</si>
  <si>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</si>
  <si>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</si>
  <si>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</si>
  <si>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</si>
  <si>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</si>
  <si>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</si>
  <si>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</si>
  <si>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</si>
  <si>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</si>
  <si>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</si>
  <si>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</si>
  <si>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</si>
  <si>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</si>
  <si>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</si>
  <si>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</si>
  <si>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</si>
  <si>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</si>
  <si>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</si>
  <si>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</si>
  <si>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</si>
  <si>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</si>
  <si>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</si>
  <si>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</si>
  <si>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</si>
  <si>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</si>
  <si>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</si>
  <si>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</si>
  <si>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</si>
  <si>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</si>
  <si>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</si>
  <si>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</si>
  <si>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</si>
  <si>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</si>
  <si>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</si>
  <si>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</si>
  <si>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</si>
  <si>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</si>
  <si>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</si>
  <si>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</si>
  <si>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</si>
  <si>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</si>
  <si>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</si>
  <si>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</si>
  <si>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</si>
  <si>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</si>
  <si>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</si>
  <si>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</si>
  <si>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</si>
  <si>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</si>
  <si>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</si>
  <si>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</si>
  <si>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</si>
  <si>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</si>
  <si>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</si>
  <si>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</si>
  <si>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</si>
  <si>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</si>
  <si>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</si>
  <si>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</si>
  <si>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</si>
  <si>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</si>
  <si>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</si>
  <si>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</si>
  <si>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</si>
  <si>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</si>
  <si>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</si>
  <si>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</si>
  <si>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</si>
  <si>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</si>
  <si>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</si>
  <si>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</si>
  <si>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</si>
  <si>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</si>
  <si>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</si>
  <si>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</si>
  <si>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</si>
  <si>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</si>
  <si>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</si>
  <si>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</si>
  <si>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</si>
  <si>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</si>
  <si>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</si>
  <si>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</si>
  <si>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</si>
  <si>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</si>
  <si>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</si>
  <si>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</si>
  <si>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</si>
  <si>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</si>
  <si>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</si>
  <si>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</si>
  <si>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</si>
  <si>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</si>
  <si>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</si>
  <si>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</si>
  <si>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</si>
  <si>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</si>
  <si>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</si>
  <si>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</si>
  <si>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</si>
  <si>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</si>
  <si>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</si>
  <si>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</si>
  <si>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</si>
  <si>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</si>
  <si>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</si>
  <si>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</si>
  <si>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</si>
  <si>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</si>
  <si>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</si>
  <si>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</si>
  <si>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</si>
  <si>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</si>
  <si>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</si>
  <si>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</si>
  <si>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</si>
  <si>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</si>
  <si>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</si>
  <si>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</si>
  <si>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</si>
  <si>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</si>
  <si>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</si>
  <si>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</si>
  <si>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</si>
  <si>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</si>
  <si>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</si>
  <si>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</si>
  <si>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</si>
  <si>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</si>
  <si>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</si>
  <si>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</si>
  <si>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</si>
  <si>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</si>
  <si>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</si>
  <si>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</si>
  <si>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</si>
  <si>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</si>
  <si>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</si>
  <si>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</si>
  <si>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</si>
  <si>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</si>
  <si>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</si>
  <si>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</si>
  <si>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</si>
  <si>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</si>
  <si>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</si>
  <si>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</si>
  <si>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</si>
  <si>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</si>
  <si>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</si>
  <si>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</si>
  <si>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</si>
  <si>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</si>
  <si>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</si>
  <si>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</si>
  <si>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</si>
  <si>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</si>
  <si>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</si>
  <si>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</si>
  <si>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</si>
  <si>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</si>
  <si>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</si>
  <si>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</si>
  <si>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</si>
  <si>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</si>
  <si>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</si>
  <si>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</si>
  <si>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</si>
  <si>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</si>
  <si>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</si>
  <si>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</si>
  <si>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</si>
  <si>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</si>
  <si>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</si>
  <si>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</si>
  <si>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</si>
  <si>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</si>
  <si>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</si>
  <si>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</si>
  <si>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</si>
  <si>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</si>
  <si>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</si>
  <si>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</si>
  <si>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</si>
  <si>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</si>
  <si>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</si>
  <si>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</si>
  <si>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</si>
  <si>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</si>
  <si>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</si>
  <si>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</si>
  <si>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</si>
  <si>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</si>
  <si>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</si>
  <si>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</si>
  <si>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</si>
  <si>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</si>
  <si>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</si>
  <si>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</si>
  <si>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</si>
  <si>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</si>
  <si>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</si>
  <si>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</si>
  <si>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</si>
  <si>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</si>
  <si>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</si>
  <si>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</si>
  <si>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</si>
  <si>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</si>
  <si>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</si>
  <si>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</si>
  <si>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</si>
  <si>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</si>
  <si>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</si>
  <si>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</si>
  <si>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</si>
  <si>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</si>
  <si>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</si>
  <si>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</si>
  <si>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</si>
  <si>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</si>
  <si>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</si>
  <si>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</si>
  <si>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</si>
  <si>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</si>
  <si>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</si>
  <si>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</si>
  <si>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</si>
  <si>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</si>
  <si>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</si>
  <si>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</si>
  <si>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</si>
  <si>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</si>
  <si>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</si>
  <si>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</si>
  <si>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</si>
  <si>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</si>
  <si>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</si>
  <si>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</si>
  <si>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</si>
  <si>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</si>
  <si>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1910.HK</t>
    <phoneticPr fontId="20" type="noConversion"/>
  </si>
  <si>
    <t>SAMSONITE</t>
    <phoneticPr fontId="20" type="noConversion"/>
  </si>
  <si>
    <t>C0001</t>
    <phoneticPr fontId="20" type="noConversion"/>
  </si>
  <si>
    <t>USD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</si>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</sst>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4" zoomScaleNormal="100" workbookViewId="0">
      <selection activeCell="C29" sqref="C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1910.HK</v>
      </c>
      <c r="D3" s="246"/>
      <c r="E3" s="87"/>
      <c r="F3" s="3" t="s">
        <v>1</v>
      </c>
      <c r="G3" s="133">
        <v>18.559999465942383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SAMSONITE</v>
      </c>
      <c r="D4" s="248"/>
      <c r="E4" s="87"/>
      <c r="F4" s="3" t="s">
        <v>3</v>
      </c>
      <c r="G4" s="251">
        <f>Inputs!C10</f>
        <v>1462217799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27138.761568531449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C0001</v>
      </c>
      <c r="E7" s="87"/>
      <c r="F7" s="35" t="s">
        <v>6</v>
      </c>
      <c r="G7" s="134">
        <v>7.7831001281738281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0.40723441233977836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0.41258418422767756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4.6980230284597004E-2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2.1698091242435504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9.8339971306775589E-2</v>
      </c>
    </row>
    <row r="25" spans="1:8" ht="15.75" customHeight="1" x14ac:dyDescent="0.15">
      <c r="B25" s="138" t="s">
        <v>208</v>
      </c>
      <c r="C25" s="177">
        <f>Fin_Analysis!I82</f>
        <v>9.0430154247230065E-3</v>
      </c>
      <c r="F25" s="141" t="s">
        <v>188</v>
      </c>
      <c r="G25" s="177">
        <f>Fin_Analysis!I88</f>
        <v>0.437513987102362</v>
      </c>
    </row>
    <row r="26" spans="1:8" ht="15.75" customHeight="1" x14ac:dyDescent="0.15">
      <c r="B26" s="139" t="s">
        <v>187</v>
      </c>
      <c r="C26" s="177">
        <f>Fin_Analysis!I83</f>
        <v>0.12415815772322404</v>
      </c>
      <c r="F26" s="142" t="s">
        <v>210</v>
      </c>
      <c r="G26" s="184">
        <f>Fin_Analysis!H88*Exchange_Rate/G3</f>
        <v>4.302511293795927E-2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IF(Fin_Analysis!C108="Profit",Fin_Analysis!E100,IF(Fin_Analysis!C108="Dividend",Fin_Analysis!E103,Fin_Analysis!E106))</f>
        <v>0.36299771430420513</v>
      </c>
      <c r="D29" s="130">
        <f>IF(Fin_Analysis!C108="Profit",Fin_Analysis!I100,IF(Fin_Analysis!C108="Dividend",Fin_Analysis!I103,Fin_Analysis!I106))</f>
        <v>24.549027744033161</v>
      </c>
      <c r="E29" s="87"/>
      <c r="F29" s="132">
        <f>IF(Fin_Analysis!C108="Profit",Fin_Analysis!F100,IF(Fin_Analysis!C108="Dividend",Fin_Analysis!F103,Fin_Analysis!F106))</f>
        <v>17.990287751068834</v>
      </c>
      <c r="G29" s="242">
        <f>IF(Fin_Analysis!C108="Profit",Fin_Analysis!H100,IF(Fin_Analysis!C108="Dividend",Fin_Analysis!H103,Fin_Analysis!H106))</f>
        <v>19.63922219522653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7" zoomScaleNormal="100" workbookViewId="0">
      <selection activeCell="F10" sqref="F1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244</v>
      </c>
      <c r="E4" s="240" t="s">
        <v>227</v>
      </c>
      <c r="F4" s="12" t="str">
        <f>C11</f>
        <v>USD</v>
      </c>
    </row>
    <row r="5" spans="1:6" ht="14" x14ac:dyDescent="0.15">
      <c r="B5" s="142" t="s">
        <v>212</v>
      </c>
      <c r="C5" s="198" t="s">
        <v>245</v>
      </c>
      <c r="E5" s="231">
        <f>C18</f>
        <v>45291</v>
      </c>
      <c r="F5" s="232">
        <v>0.1026</v>
      </c>
    </row>
    <row r="6" spans="1:6" ht="14" x14ac:dyDescent="0.15">
      <c r="B6" s="142" t="s">
        <v>175</v>
      </c>
      <c r="C6" s="196">
        <v>45591</v>
      </c>
      <c r="E6" s="233" t="s">
        <v>225</v>
      </c>
      <c r="F6" s="232">
        <f>F5</f>
        <v>0.1026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246</v>
      </c>
    </row>
    <row r="10" spans="1:6" ht="14" x14ac:dyDescent="0.15">
      <c r="B10" s="141" t="s">
        <v>238</v>
      </c>
      <c r="C10" s="200">
        <v>1462217799</v>
      </c>
    </row>
    <row r="11" spans="1:6" ht="14" x14ac:dyDescent="0.15">
      <c r="B11" s="141" t="s">
        <v>239</v>
      </c>
      <c r="C11" s="199" t="s">
        <v>247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205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3682.4</v>
      </c>
      <c r="D19" s="152">
        <v>2879.6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1499.6</v>
      </c>
      <c r="D20" s="153">
        <v>1274.2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1519.3</v>
      </c>
      <c r="D21" s="153">
        <v>1185.2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173</v>
      </c>
      <c r="D26" s="153">
        <v>138.30000000000001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33.299999999999997</v>
      </c>
      <c r="D27" s="153">
        <v>25.6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>
        <v>815.5</v>
      </c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>
        <v>346.1</v>
      </c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>
        <v>95.8</v>
      </c>
      <c r="D46" s="60">
        <v>0.1</v>
      </c>
      <c r="E46" s="113"/>
    </row>
    <row r="47" spans="2:13" ht="14" x14ac:dyDescent="0.15">
      <c r="B47" s="3" t="s">
        <v>47</v>
      </c>
      <c r="C47" s="59">
        <v>637.70000000000005</v>
      </c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>
        <v>701.8</v>
      </c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>
        <v>1525.3</v>
      </c>
      <c r="D62" s="60">
        <v>0.05</v>
      </c>
      <c r="E62" s="113"/>
    </row>
    <row r="63" spans="2:5" ht="14" x14ac:dyDescent="0.15">
      <c r="B63" s="3" t="s">
        <v>75</v>
      </c>
      <c r="C63" s="59">
        <v>169.3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949.6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92.8</v>
      </c>
    </row>
    <row r="67" spans="2:3" ht="14" x14ac:dyDescent="0.15">
      <c r="B67" s="3" t="s">
        <v>40</v>
      </c>
      <c r="C67" s="59">
        <v>126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>
        <v>1180.4000000000001</v>
      </c>
    </row>
    <row r="71" spans="2:3" ht="15" thickTop="1" x14ac:dyDescent="0.15">
      <c r="B71" s="3" t="s">
        <v>62</v>
      </c>
      <c r="C71" s="59">
        <v>1721</v>
      </c>
    </row>
    <row r="72" spans="2:3" ht="14" x14ac:dyDescent="0.15">
      <c r="B72" s="3" t="s">
        <v>64</v>
      </c>
      <c r="C72" s="59">
        <v>392.6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>
        <v>121.2</v>
      </c>
    </row>
    <row r="75" spans="2:3" ht="15" thickBot="1" x14ac:dyDescent="0.2">
      <c r="B75" s="80" t="s">
        <v>85</v>
      </c>
      <c r="C75" s="83">
        <v>2453.6999999999998</v>
      </c>
    </row>
    <row r="76" spans="2:3" ht="15" thickTop="1" x14ac:dyDescent="0.15">
      <c r="B76" s="73" t="s">
        <v>242</v>
      </c>
      <c r="C76" s="59">
        <v>1478.9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B56" sqref="B5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446.10000000000025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3682.4</v>
      </c>
      <c r="D6" s="209">
        <f>IF(Inputs!D19="","",Inputs!D19)</f>
        <v>2879.6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1499.6</v>
      </c>
      <c r="D8" s="208">
        <f>IF(Inputs!D20="","",Inputs!D20)</f>
        <v>1274.2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2182.8000000000002</v>
      </c>
      <c r="D9" s="154">
        <f t="shared" si="2"/>
        <v>1605.3999999999999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1519.3</v>
      </c>
      <c r="D10" s="208">
        <f>IF(Inputs!D21="","",Inputs!D21)</f>
        <v>1185.2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663.50000000000023</v>
      </c>
      <c r="D13" s="154">
        <f t="shared" ref="D13:M13" si="4">IF(D6="","",(D9-D10+MAX(D12,0)))</f>
        <v>420.19999999999982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173</v>
      </c>
      <c r="D17" s="208">
        <f>IF(Inputs!D26="","",Inputs!D26)</f>
        <v>138.30000000000001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33.299999999999997</v>
      </c>
      <c r="D18" s="208">
        <f>IF(Inputs!D27="","",Inputs!D27)</f>
        <v>25.6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446.10000000000025</v>
      </c>
      <c r="D19" s="237">
        <f>IF(D6="","",D9-D10-MAX(D17,0)-MAX(D18,0)/(1-Fin_Analysis!$I$84))</f>
        <v>247.76666666666648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0.80048432665142166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446.10000000000025</v>
      </c>
      <c r="D21" s="77">
        <f>IF(D6="","",D13-MAX(D14,0)-MAX(D15,0)-MAX(D16,0)-MAX(D17,0)-MAX(D18,0)/(1-Fin_Analysis!$I$84))</f>
        <v>247.76666666666648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0.80048432665142166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9.0857864436237279E-2</v>
      </c>
      <c r="D23" s="157">
        <f t="shared" si="7"/>
        <v>6.4531532157244026E-2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334.57500000000016</v>
      </c>
      <c r="D24" s="77">
        <f>IF(D6="","",D21*(1-Fin_Analysis!$I$84))</f>
        <v>185.82499999999987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0.80048432665142144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5241.1000000000004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1895.1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346.1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637.70000000000005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1180.4000000000001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2453.6999999999998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218.8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2234.7999999999997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2453.6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1607.0000000000005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128.10000000000036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815.5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0.10079989154013019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0.40723441233977836</v>
      </c>
      <c r="D42" s="161">
        <f t="shared" si="33"/>
        <v>0.44249201277955275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0.41258418422767756</v>
      </c>
      <c r="D43" s="157">
        <f t="shared" ref="D43:M43" si="34">IF(D6="","",(D10-MAX(D12,0))/D6)</f>
        <v>0.41158494235310461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4.6980230284597004E-2</v>
      </c>
      <c r="D46" s="157">
        <f t="shared" ref="D46:M46" si="37">IF(D6="","",MAX(D17,0)/D6)</f>
        <v>4.8027503819975004E-2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1.2057353899630675E-2</v>
      </c>
      <c r="D47" s="157">
        <f>IF(D6="","",MAX(D18,0)/(1-Fin_Analysis!$I$84)/D6)</f>
        <v>1.1853498171042275E-2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0.12114381924831638</v>
      </c>
      <c r="D48" s="157">
        <f t="shared" si="38"/>
        <v>8.6042042876325359E-2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9.3987616771670654E-2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0.17317510319356941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0.69338497643624419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0.18181447668731671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0.38780542479264718</v>
      </c>
      <c r="D55" s="157">
        <f t="shared" ref="D55:M55" si="43">IF(D21="","",IF(MAX(D17,0)&lt;=0,"-",D17/D21))</f>
        <v>0.55818646576079689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1.6054727211114874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E100" sqref="E10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1478.9</v>
      </c>
      <c r="K3" s="24"/>
    </row>
    <row r="4" spans="1:11" ht="15" customHeight="1" x14ac:dyDescent="0.15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-18237.341142523292</v>
      </c>
      <c r="E6" s="56">
        <f>1-D6/D3</f>
        <v>12.348687705366077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815.5</v>
      </c>
      <c r="D11" s="207">
        <f>Inputs!D40</f>
        <v>0.9</v>
      </c>
      <c r="E11" s="88">
        <f t="shared" ref="E11:E22" si="0">C11*D11</f>
        <v>733.95</v>
      </c>
      <c r="F11" s="113"/>
      <c r="G11" s="87"/>
      <c r="H11" s="3" t="s">
        <v>39</v>
      </c>
      <c r="I11" s="40">
        <f>Inputs!C66</f>
        <v>92.8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126</v>
      </c>
      <c r="J12" s="87"/>
      <c r="K12" s="24"/>
    </row>
    <row r="13" spans="1:11" ht="14" x14ac:dyDescent="0.15">
      <c r="B13" s="3" t="s">
        <v>121</v>
      </c>
      <c r="C13" s="40">
        <f>Inputs!C42</f>
        <v>346.1</v>
      </c>
      <c r="D13" s="207">
        <f>Inputs!D42</f>
        <v>0.6</v>
      </c>
      <c r="E13" s="88">
        <f t="shared" si="0"/>
        <v>207.66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218.8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95.8</v>
      </c>
      <c r="D17" s="207">
        <f>Inputs!D46</f>
        <v>0.1</v>
      </c>
      <c r="E17" s="88">
        <f t="shared" si="0"/>
        <v>9.58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637.70000000000005</v>
      </c>
      <c r="D18" s="207">
        <f>Inputs!D47</f>
        <v>0.5</v>
      </c>
      <c r="E18" s="88">
        <f t="shared" si="0"/>
        <v>318.85000000000002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961.60000000000014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4">
        <f>E24/$E$28</f>
        <v>0.74140184561116185</v>
      </c>
      <c r="G24" s="87"/>
    </row>
    <row r="25" spans="2:10" ht="15" customHeight="1" x14ac:dyDescent="0.15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4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15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4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3"/>
      <c r="G28" s="87"/>
      <c r="H28" s="78" t="s">
        <v>16</v>
      </c>
      <c r="I28" s="215">
        <f>Inputs!C70</f>
        <v>1180.4000000000001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1721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392.6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121.2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2234.7999999999997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701.8</v>
      </c>
      <c r="D38" s="207">
        <f>Inputs!D60</f>
        <v>0.1</v>
      </c>
      <c r="E38" s="88">
        <f t="shared" si="1"/>
        <v>70.179999999999993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1525.3</v>
      </c>
      <c r="D40" s="207">
        <f>Inputs!D62</f>
        <v>0.05</v>
      </c>
      <c r="E40" s="88">
        <f t="shared" si="1"/>
        <v>76.265000000000001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169.3</v>
      </c>
      <c r="D41" s="207">
        <f>Inputs!D63</f>
        <v>0.9</v>
      </c>
      <c r="E41" s="88">
        <f t="shared" si="1"/>
        <v>152.37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949.6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218.90000000000009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16">
        <f>Inputs!C75</f>
        <v>2453.6999999999998</v>
      </c>
      <c r="J48" s="8"/>
    </row>
    <row r="49" spans="2:11" ht="15" customHeight="1" thickTop="1" x14ac:dyDescent="0.15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128.10000000000036</v>
      </c>
      <c r="D53" s="29">
        <f>IF(E53=0, 0,E53/C53)</f>
        <v>2.1698091242435504</v>
      </c>
      <c r="E53" s="88">
        <f>IF(C53=0,0,MAX(C53,C53*Dashboard!G23))</f>
        <v>277.95254881559958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2453.6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815.5</v>
      </c>
      <c r="D62" s="108">
        <f t="shared" si="2"/>
        <v>0.9</v>
      </c>
      <c r="E62" s="119">
        <f>E11+E30</f>
        <v>733.95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2453.6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1180.5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3682.4</v>
      </c>
      <c r="D74" s="218"/>
      <c r="E74" s="205">
        <f>H74</f>
        <v>3682.4</v>
      </c>
      <c r="F74" s="218"/>
      <c r="H74" s="205">
        <f>C74</f>
        <v>3682.4</v>
      </c>
      <c r="I74" s="218"/>
      <c r="K74" s="24"/>
    </row>
    <row r="75" spans="1:11" ht="15" customHeight="1" x14ac:dyDescent="0.15">
      <c r="B75" s="105" t="s">
        <v>109</v>
      </c>
      <c r="C75" s="77">
        <f>Data!C8</f>
        <v>1499.6</v>
      </c>
      <c r="D75" s="164">
        <f>C75/$C$74</f>
        <v>0.40723441233977836</v>
      </c>
      <c r="E75" s="186">
        <f>E74*F75</f>
        <v>1499.6</v>
      </c>
      <c r="F75" s="165">
        <f>I75</f>
        <v>0.40723441233977836</v>
      </c>
      <c r="H75" s="205">
        <f>D75*H74</f>
        <v>1499.6</v>
      </c>
      <c r="I75" s="165">
        <f>H75/$H$74</f>
        <v>0.40723441233977836</v>
      </c>
      <c r="K75" s="24"/>
    </row>
    <row r="76" spans="1:11" ht="15" customHeight="1" x14ac:dyDescent="0.15">
      <c r="B76" s="35" t="s">
        <v>96</v>
      </c>
      <c r="C76" s="166">
        <f>C74-C75</f>
        <v>2182.8000000000002</v>
      </c>
      <c r="D76" s="219"/>
      <c r="E76" s="167">
        <f>E74-E75</f>
        <v>2182.8000000000002</v>
      </c>
      <c r="F76" s="219"/>
      <c r="H76" s="167">
        <f>H74-H75</f>
        <v>2182.8000000000002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1519.3</v>
      </c>
      <c r="D77" s="164">
        <f>C77/$C$74</f>
        <v>0.41258418422767756</v>
      </c>
      <c r="E77" s="186">
        <f>E74*F77</f>
        <v>1519.3</v>
      </c>
      <c r="F77" s="165">
        <f>I77</f>
        <v>0.41258418422767756</v>
      </c>
      <c r="H77" s="205">
        <f>D77*H74</f>
        <v>1519.3</v>
      </c>
      <c r="I77" s="165">
        <f>H77/$H$74</f>
        <v>0.41258418422767756</v>
      </c>
      <c r="K77" s="24"/>
    </row>
    <row r="78" spans="1:11" ht="15" customHeight="1" x14ac:dyDescent="0.15">
      <c r="B78" s="35" t="s">
        <v>97</v>
      </c>
      <c r="C78" s="166">
        <f>C76-C77</f>
        <v>663.50000000000023</v>
      </c>
      <c r="D78" s="219"/>
      <c r="E78" s="167">
        <f>E76-E77</f>
        <v>663.50000000000023</v>
      </c>
      <c r="F78" s="219"/>
      <c r="H78" s="167">
        <f>H76-H77</f>
        <v>663.50000000000023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173</v>
      </c>
      <c r="D79" s="164">
        <f>C79/$C$74</f>
        <v>4.6980230284597004E-2</v>
      </c>
      <c r="E79" s="186">
        <f>E74*F79</f>
        <v>173</v>
      </c>
      <c r="F79" s="165">
        <f t="shared" ref="F79:F84" si="3">I79</f>
        <v>4.6980230284597004E-2</v>
      </c>
      <c r="H79" s="205">
        <f>C79</f>
        <v>173</v>
      </c>
      <c r="I79" s="165">
        <f>H79/$H$74</f>
        <v>4.6980230284597004E-2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33.299999999999997</v>
      </c>
      <c r="D82" s="164">
        <f>C82/$C$74</f>
        <v>9.0430154247230065E-3</v>
      </c>
      <c r="E82" s="186">
        <f>E74*F82</f>
        <v>33.299999999999997</v>
      </c>
      <c r="F82" s="165">
        <f t="shared" si="3"/>
        <v>9.0430154247230065E-3</v>
      </c>
      <c r="H82" s="205">
        <f>H74*D82</f>
        <v>33.299999999999997</v>
      </c>
      <c r="I82" s="165">
        <f>H82/$H$74</f>
        <v>9.0430154247230065E-3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457.20000000000022</v>
      </c>
      <c r="D83" s="169">
        <f>C83/$C$74</f>
        <v>0.12415815772322404</v>
      </c>
      <c r="E83" s="170">
        <f>E78-E79-E80-E81-E82</f>
        <v>457.20000000000022</v>
      </c>
      <c r="F83" s="169">
        <f>E83/E74</f>
        <v>0.12415815772322404</v>
      </c>
      <c r="H83" s="170">
        <f>H78-H79-H80-H81-H82</f>
        <v>457.20000000000022</v>
      </c>
      <c r="I83" s="169">
        <f>H83/$H$74</f>
        <v>0.12415815772322404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342.90000000000015</v>
      </c>
      <c r="D85" s="171">
        <f>C85/$C$74</f>
        <v>9.3118618292418021E-2</v>
      </c>
      <c r="E85" s="172">
        <f>E83*(1-F84)</f>
        <v>342.90000000000015</v>
      </c>
      <c r="F85" s="171">
        <f>E85/E74</f>
        <v>9.3118618292418021E-2</v>
      </c>
      <c r="H85" s="172">
        <f>H83*(1-I84)</f>
        <v>342.90000000000015</v>
      </c>
      <c r="I85" s="171">
        <f>H85/$H$74</f>
        <v>9.3118618292418021E-2</v>
      </c>
      <c r="K85" s="24"/>
    </row>
    <row r="86" spans="1:11" ht="15" customHeight="1" x14ac:dyDescent="0.15">
      <c r="B86" s="87" t="s">
        <v>172</v>
      </c>
      <c r="C86" s="173">
        <f>C85*Data!C4/Common_Shares</f>
        <v>0.23450678841039066</v>
      </c>
      <c r="D86" s="218"/>
      <c r="E86" s="174">
        <f>E85*Data!C4/Common_Shares</f>
        <v>0.23450678841039066</v>
      </c>
      <c r="F86" s="218"/>
      <c r="H86" s="174">
        <f>H85*Data!C4/Common_Shares</f>
        <v>0.23450678841039066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9.8339971306775589E-2</v>
      </c>
      <c r="D87" s="218"/>
      <c r="E87" s="239">
        <f>E86*Exchange_Rate/Dashboard!G3</f>
        <v>9.8339971306775589E-2</v>
      </c>
      <c r="F87" s="218"/>
      <c r="H87" s="239">
        <f>H86*Exchange_Rate/Dashboard!G3</f>
        <v>9.8339971306775589E-2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0.1026</v>
      </c>
      <c r="D88" s="171">
        <f>C88/C86</f>
        <v>0.437513987102362</v>
      </c>
      <c r="E88" s="204">
        <f>H88</f>
        <v>0.1026</v>
      </c>
      <c r="F88" s="171">
        <f>E88/E86</f>
        <v>0.437513987102362</v>
      </c>
      <c r="H88" s="176">
        <f>Inputs!F6</f>
        <v>0.1026</v>
      </c>
      <c r="I88" s="171">
        <f>H88/H86</f>
        <v>0.437513987102362</v>
      </c>
      <c r="K88" s="24"/>
    </row>
    <row r="89" spans="1:11" ht="15" customHeight="1" x14ac:dyDescent="0.15">
      <c r="B89" s="87" t="s">
        <v>243</v>
      </c>
      <c r="C89" s="165">
        <f>C88*Exchange_Rate/Dashboard!G3</f>
        <v>4.302511293795927E-2</v>
      </c>
      <c r="D89" s="218"/>
      <c r="E89" s="165">
        <f>E88*Exchange_Rate/Dashboard!G3</f>
        <v>4.302511293795927E-2</v>
      </c>
      <c r="F89" s="218"/>
      <c r="H89" s="165">
        <f>H88*Exchange_Rate/Dashboard!G3</f>
        <v>4.302511293795927E-2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5.6793080811767016</v>
      </c>
      <c r="H93" s="87" t="s">
        <v>229</v>
      </c>
      <c r="I93" s="146">
        <f>FV(H87,D93,0,-(H86/C93))</f>
        <v>5.6793080811767016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1.9190100562275085</v>
      </c>
      <c r="H94" s="87" t="s">
        <v>230</v>
      </c>
      <c r="I94" s="146">
        <f>FV(H89,D93,0,-(H88/C93))</f>
        <v>1.9190100562275085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46954.161394899376</v>
      </c>
      <c r="E97" s="124">
        <f>PV(C94,D93,0,-F93)*Exchange_Rate</f>
        <v>14.48431565358532</v>
      </c>
      <c r="F97" s="124">
        <f>PV(C93,D93,0,-F93)*Exchange_Rate</f>
        <v>32.111605690349947</v>
      </c>
      <c r="H97" s="124">
        <f>PV(C93,D93,0,-I93)*Exchange_Rate</f>
        <v>32.111605690349947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2163.3325183129355</v>
      </c>
      <c r="E98" s="222"/>
      <c r="F98" s="222"/>
      <c r="H98" s="124">
        <f>C98*Data!$C$4/Common_Shares</f>
        <v>1.4794872007387836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-16074.008624210357</v>
      </c>
      <c r="E99" s="223"/>
      <c r="F99" s="148">
        <f>IF(H99&gt;0,H99*0.85,H99*1.15)</f>
        <v>-12.64183073854233</v>
      </c>
      <c r="H99" s="148">
        <f>C99*Data!$C$4/Common_Shares</f>
        <v>-10.992896294384636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28716.820252376085</v>
      </c>
      <c r="E100" s="110">
        <f>MAX(E97-H98+F99,0)</f>
        <v>0.36299771430420513</v>
      </c>
      <c r="F100" s="110">
        <f>MAX(F97-H98+F99,0)</f>
        <v>17.990287751068834</v>
      </c>
      <c r="H100" s="110">
        <f>MAX(C100*Data!$C$4/Common_Shares,0)</f>
        <v>19.63922219522653</v>
      </c>
      <c r="I100" s="110">
        <f>H100*1.25</f>
        <v>24.549027744033161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15865.578449104369</v>
      </c>
      <c r="E103" s="110">
        <f>PV(C94,D93,0,-F94)*Exchange_Rate</f>
        <v>4.89417848081324</v>
      </c>
      <c r="F103" s="124">
        <f>PV(C93,D93,0,-F94)*Exchange_Rate</f>
        <v>10.850352430366202</v>
      </c>
      <c r="H103" s="124">
        <f>PV(C93,D93,0,-I94)*Exchange_Rate</f>
        <v>10.850352430366202</v>
      </c>
      <c r="I103" s="110">
        <f>H103*1.25</f>
        <v>13.562940537957752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21085.648703924449</v>
      </c>
      <c r="E106" s="110">
        <f>(E100+E103)/2</f>
        <v>2.6285880975587226</v>
      </c>
      <c r="F106" s="124">
        <f>(F100+F103)/2</f>
        <v>14.420320090717517</v>
      </c>
      <c r="H106" s="124">
        <f>(H100+H103)/2</f>
        <v>15.244787312796365</v>
      </c>
      <c r="I106" s="110">
        <f>H106*1.25</f>
        <v>19.055984140995456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