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B0CF281F-2236-154F-A7B8-F0500A6845C9}" xr6:coauthVersionLast="47" xr6:coauthVersionMax="47" xr10:uidLastSave="{00000000-0000-0000-0000-000000000000}"/>
  <bookViews>
    <workbookView xWindow="740" yWindow="74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F5" i="4"/>
  <c r="F4" i="4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J54" i="2" s="1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<sst xmlns="http://schemas.openxmlformats.org/spreadsheetml/2006/main" count="350" uniqueCount="248">
  <si>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</si>
  <si>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</si>
  <si>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</si>
  <si>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</si>
  <si>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</si>
  <si>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</si>
  <si>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</si>
  <si>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</si>
  <si>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</si>
  <si>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</si>
  <si>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</si>
  <si>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</si>
  <si>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</si>
  <si>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</si>
  <si>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</si>
  <si>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</si>
  <si>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</si>
  <si>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</si>
  <si>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</si>
  <si>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</si>
  <si>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</si>
  <si>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</si>
  <si>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</si>
  <si>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</si>
  <si>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</si>
  <si>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</si>
  <si>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</si>
  <si>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</si>
  <si>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</si>
  <si>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</si>
  <si>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</si>
  <si>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</si>
  <si>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</si>
  <si>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</si>
  <si>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</si>
  <si>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</si>
  <si>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</si>
  <si>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</si>
  <si>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</si>
  <si>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</si>
  <si>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</si>
  <si>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</si>
  <si>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</si>
  <si>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</si>
  <si>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</si>
  <si>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</si>
  <si>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</si>
  <si>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</si>
  <si>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</si>
  <si>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</si>
  <si>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</si>
  <si>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</si>
  <si>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</si>
  <si>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</si>
  <si>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</si>
  <si>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</si>
  <si>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</si>
  <si>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</si>
  <si>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</si>
  <si>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</si>
  <si>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</si>
  <si>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</si>
  <si>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</si>
  <si>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</si>
  <si>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</si>
  <si>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</si>
  <si>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</si>
  <si>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</si>
  <si>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</si>
  <si>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</si>
  <si>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</si>
  <si>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</si>
  <si>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</si>
  <si>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</si>
  <si>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</si>
  <si>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</si>
  <si>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</si>
  <si>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</si>
  <si>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</si>
  <si>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</si>
  <si>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</si>
  <si>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</si>
  <si>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</si>
  <si>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</si>
  <si>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</si>
  <si>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</si>
  <si>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</si>
  <si>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</si>
  <si>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</si>
  <si>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</si>
  <si>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</si>
  <si>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</si>
  <si>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</si>
  <si>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</si>
  <si>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</si>
  <si>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</si>
  <si>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</si>
  <si>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</si>
  <si>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</si>
  <si>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</si>
  <si>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</si>
  <si>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</si>
  <si>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</si>
  <si>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</si>
  <si>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</si>
  <si>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</si>
  <si>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</si>
  <si>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</si>
  <si>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</si>
  <si>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</si>
  <si>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</si>
  <si>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</si>
  <si>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</si>
  <si>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</si>
  <si>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</si>
  <si>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</si>
  <si>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</si>
  <si>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</si>
  <si>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</si>
  <si>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</si>
  <si>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</si>
  <si>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</si>
  <si>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</si>
  <si>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</si>
  <si>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</si>
  <si>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</si>
  <si>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</si>
  <si>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</si>
  <si>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</si>
  <si>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</si>
  <si>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</si>
  <si>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</si>
  <si>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</si>
  <si>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</si>
  <si>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</si>
  <si>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</si>
  <si>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</si>
  <si>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</si>
  <si>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</si>
  <si>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</si>
  <si>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</si>
  <si>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</si>
  <si>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</si>
  <si>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</si>
  <si>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</si>
  <si>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</si>
  <si>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</si>
  <si>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</si>
  <si>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</si>
  <si>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</si>
  <si>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</si>
  <si>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</si>
  <si>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</si>
  <si>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</si>
  <si>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</si>
  <si>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</si>
  <si>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</si>
  <si>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</si>
  <si>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</si>
  <si>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</si>
  <si>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</si>
  <si>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</si>
  <si>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</si>
  <si>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</si>
  <si>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</si>
  <si>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</si>
  <si>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</si>
  <si>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</si>
  <si>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</si>
  <si>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</si>
  <si>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</si>
  <si>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</si>
  <si>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</si>
  <si>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</si>
  <si>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</si>
  <si>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</si>
  <si>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</si>
  <si>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</si>
  <si>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</si>
  <si>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</si>
  <si>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</si>
  <si>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</si>
  <si>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</si>
  <si>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</si>
  <si>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</si>
  <si>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</si>
  <si>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</si>
  <si>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</si>
  <si>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</si>
  <si>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</si>
  <si>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</si>
  <si>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</si>
  <si>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</si>
  <si>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</si>
  <si>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</si>
  <si>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</si>
  <si>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</si>
  <si>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</si>
  <si>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</si>
  <si>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</si>
  <si>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</si>
  <si>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</si>
  <si>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</si>
  <si>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</si>
  <si>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</si>
  <si>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</si>
  <si>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</si>
  <si>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</si>
  <si>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</si>
  <si>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</si>
  <si>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</si>
  <si>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</si>
  <si>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</si>
  <si>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</si>
  <si>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</si>
  <si>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</si>
  <si>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</si>
  <si>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</si>
  <si>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</si>
  <si>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</si>
  <si>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</si>
  <si>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</si>
  <si>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</si>
  <si>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</si>
  <si>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</si>
  <si>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</si>
  <si>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</si>
  <si>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</si>
  <si>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</si>
  <si>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</si>
  <si>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</si>
  <si>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</si>
  <si>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</si>
  <si>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</si>
  <si>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</si>
  <si>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</si>
  <si>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</si>
  <si>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</si>
  <si>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</si>
  <si>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</si>
  <si>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</si>
  <si>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</si>
  <si>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</si>
  <si>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Dividend</t>
  </si>
  <si>
    <t>D/P Dividend Yield</t>
    <phoneticPr fontId="20" type="noConversion"/>
  </si>
  <si>
    <t>2388.HK</t>
    <phoneticPr fontId="20" type="noConversion"/>
  </si>
  <si>
    <t>中银香港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</si>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</sst>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2388.HK</v>
      </c>
      <c r="D3" s="247"/>
      <c r="E3" s="87"/>
      <c r="F3" s="3" t="s">
        <v>1</v>
      </c>
      <c r="G3" s="133">
        <v>25.399999618530273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中银香港</v>
      </c>
      <c r="D4" s="249"/>
      <c r="E4" s="87"/>
      <c r="F4" s="3" t="s">
        <v>3</v>
      </c>
      <c r="G4" s="252">
        <f>Inputs!C10</f>
        <v>10572780266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268548.6147232044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HKD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2.8609905101246381E-2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0.11648068007266453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0.54295694135635775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0.12219407660628891</v>
      </c>
    </row>
    <row r="25" spans="1:8" ht="15.75" customHeight="1" x14ac:dyDescent="0.15">
      <c r="B25" s="138" t="s">
        <v>208</v>
      </c>
      <c r="C25" s="177">
        <f>Fin_Analysis!I82</f>
        <v>1.4967770896312765E-2</v>
      </c>
      <c r="F25" s="141" t="s">
        <v>188</v>
      </c>
      <c r="G25" s="177">
        <f>Fin_Analysis!I88</f>
        <v>0.47684567884796758</v>
      </c>
    </row>
    <row r="26" spans="1:8" ht="15.75" customHeight="1" x14ac:dyDescent="0.15">
      <c r="B26" s="139" t="s">
        <v>187</v>
      </c>
      <c r="C26" s="177">
        <f>Fin_Analysis!I83</f>
        <v>0.29698470257341852</v>
      </c>
      <c r="F26" s="142" t="s">
        <v>210</v>
      </c>
      <c r="G26" s="184">
        <f>Fin_Analysis!H88*Exchange_Rate/G3</f>
        <v>5.8267717410526387E-2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9.7531623932654519</v>
      </c>
      <c r="D29" s="130">
        <f>IF(Fin_Analysis!C108="Profit",Fin_Analysis!I100,IF(Fin_Analysis!C108="Dividend",Fin_Analysis!I103,Fin_Analysis!I106))</f>
        <v>27.028348499240774</v>
      </c>
      <c r="E29" s="87"/>
      <c r="F29" s="132">
        <f>IF(Fin_Analysis!C108="Profit",Fin_Analysis!F100,IF(Fin_Analysis!C108="Dividend",Fin_Analysis!F103,Fin_Analysis!F106))</f>
        <v>21.62267879939262</v>
      </c>
      <c r="G29" s="243">
        <f>IF(Fin_Analysis!C108="Profit",Fin_Analysis!H100,IF(Fin_Analysis!C108="Dividend",Fin_Analysis!H103,Fin_Analysis!H106))</f>
        <v>21.62267879939262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7" sqref="C1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245</v>
      </c>
      <c r="E4" s="240" t="s">
        <v>227</v>
      </c>
      <c r="F4" s="12" t="str">
        <f>C11</f>
        <v>HKD</v>
      </c>
    </row>
    <row r="5" spans="1:6" ht="15" x14ac:dyDescent="0.2">
      <c r="B5" s="142" t="s">
        <v>212</v>
      </c>
      <c r="C5" s="241" t="s">
        <v>246</v>
      </c>
      <c r="E5" s="231">
        <f>C18</f>
        <v>45291</v>
      </c>
      <c r="F5" s="232">
        <f>1.145+0.57</f>
        <v>1.7149999999999999</v>
      </c>
    </row>
    <row r="6" spans="1:6" ht="14" x14ac:dyDescent="0.15">
      <c r="B6" s="142" t="s">
        <v>175</v>
      </c>
      <c r="C6" s="196">
        <v>45593</v>
      </c>
      <c r="E6" s="233" t="s">
        <v>225</v>
      </c>
      <c r="F6" s="232">
        <f>0.91+0.57</f>
        <v>1.48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247</v>
      </c>
    </row>
    <row r="10" spans="1:6" ht="14" x14ac:dyDescent="0.15">
      <c r="B10" s="141" t="s">
        <v>238</v>
      </c>
      <c r="C10" s="200">
        <v>10572780266</v>
      </c>
    </row>
    <row r="11" spans="1:6" ht="14" x14ac:dyDescent="0.15">
      <c r="B11" s="141" t="s">
        <v>239</v>
      </c>
      <c r="C11" s="199" t="s">
        <v>2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205</v>
      </c>
    </row>
    <row r="16" spans="1:6" ht="14" x14ac:dyDescent="0.15">
      <c r="B16" s="234" t="s">
        <v>98</v>
      </c>
      <c r="C16" s="235">
        <v>0.22500000000000001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142573</v>
      </c>
      <c r="D19" s="152">
        <v>77824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4079</v>
      </c>
      <c r="D20" s="153">
        <v>3197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16607</v>
      </c>
      <c r="D21" s="153">
        <v>16950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77411</v>
      </c>
      <c r="D26" s="153">
        <v>25020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2134</v>
      </c>
      <c r="D27" s="153">
        <v>1290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41722.451612903227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142573</v>
      </c>
      <c r="D6" s="209">
        <f>IF(Inputs!D19="","",Inputs!D19)</f>
        <v>77824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4079</v>
      </c>
      <c r="D8" s="208">
        <f>IF(Inputs!D20="","",Inputs!D20)</f>
        <v>3197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138494</v>
      </c>
      <c r="D9" s="154">
        <f t="shared" si="2"/>
        <v>74627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16607</v>
      </c>
      <c r="D10" s="208">
        <f>IF(Inputs!D21="","",Inputs!D21)</f>
        <v>16950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121887</v>
      </c>
      <c r="D13" s="154">
        <f t="shared" ref="D13:M13" si="4">IF(D6="","",(D9-D10+MAX(D12,0)))</f>
        <v>57677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77411</v>
      </c>
      <c r="D17" s="208">
        <f>IF(Inputs!D26="","",Inputs!D26)</f>
        <v>25020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2134</v>
      </c>
      <c r="D18" s="208">
        <f>IF(Inputs!D27="","",Inputs!D27)</f>
        <v>1290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41722.451612903227</v>
      </c>
      <c r="D19" s="237">
        <f>IF(D6="","",D9-D10-MAX(D17,0)-MAX(D18,0)/(1-Fin_Analysis!$I$84))</f>
        <v>30992.483870967742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0.34621193275789036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41722.451612903227</v>
      </c>
      <c r="D21" s="77">
        <f>IF(D6="","",D13-MAX(D14,0)-MAX(D15,0)-MAX(D16,0)-MAX(D17,0)-MAX(D18,0)/(1-Fin_Analysis!$I$84))</f>
        <v>30992.483870967742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0.34621193275789036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0.226795396042729</v>
      </c>
      <c r="D23" s="157">
        <f t="shared" si="7"/>
        <v>0.30863454718338817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32334.9</v>
      </c>
      <c r="D24" s="77">
        <f>IF(D6="","",D21*(1-Fin_Analysis!$I$84))</f>
        <v>24019.174999999999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0.34621193275789042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2.8609905101246381E-2</v>
      </c>
      <c r="D42" s="161">
        <f t="shared" si="33"/>
        <v>4.1079872532894739E-2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0.11648068007266453</v>
      </c>
      <c r="D43" s="157">
        <f t="shared" ref="D43:M43" si="34">IF(D6="","",(D10-MAX(D12,0))/D6)</f>
        <v>0.21779913651315788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0.54295694135635775</v>
      </c>
      <c r="D46" s="157">
        <f t="shared" ref="D46:M46" si="37">IF(D6="","",MAX(D17,0)/D6)</f>
        <v>0.32149465460526316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1.9313252769435827E-2</v>
      </c>
      <c r="D47" s="157">
        <f>IF(D6="","",MAX(D18,0)/(1-Fin_Analysis!$I$84)/D6)</f>
        <v>2.1388210950764007E-2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0.29263922070029547</v>
      </c>
      <c r="D48" s="157">
        <f t="shared" si="38"/>
        <v>0.3982381253979202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1.8553799455077948</v>
      </c>
      <c r="D55" s="157">
        <f t="shared" ref="D55:M55" si="43">IF(D21="","",IF(MAX(D17,0)&lt;=0,"-",D17/D21))</f>
        <v>0.80729250692415533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6" zoomScaleNormal="100" workbookViewId="0">
      <selection activeCell="H88" sqref="H8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1000000HKD)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142573</v>
      </c>
      <c r="D74" s="218"/>
      <c r="E74" s="205">
        <f>H74</f>
        <v>142573</v>
      </c>
      <c r="F74" s="218"/>
      <c r="H74" s="205">
        <f>C74</f>
        <v>142573</v>
      </c>
      <c r="I74" s="218"/>
      <c r="K74" s="24"/>
    </row>
    <row r="75" spans="1:11" ht="15" customHeight="1" x14ac:dyDescent="0.15">
      <c r="B75" s="105" t="s">
        <v>109</v>
      </c>
      <c r="C75" s="77">
        <f>Data!C8</f>
        <v>4079</v>
      </c>
      <c r="D75" s="164">
        <f>C75/$C$74</f>
        <v>2.8609905101246381E-2</v>
      </c>
      <c r="E75" s="186">
        <f>E74*F75</f>
        <v>4079.0000000000005</v>
      </c>
      <c r="F75" s="165">
        <f>I75</f>
        <v>2.8609905101246381E-2</v>
      </c>
      <c r="H75" s="205">
        <f>D75*H74</f>
        <v>4079.0000000000005</v>
      </c>
      <c r="I75" s="165">
        <f>H75/$H$74</f>
        <v>2.8609905101246381E-2</v>
      </c>
      <c r="K75" s="24"/>
    </row>
    <row r="76" spans="1:11" ht="15" customHeight="1" x14ac:dyDescent="0.15">
      <c r="B76" s="35" t="s">
        <v>96</v>
      </c>
      <c r="C76" s="166">
        <f>C74-C75</f>
        <v>138494</v>
      </c>
      <c r="D76" s="219"/>
      <c r="E76" s="167">
        <f>E74-E75</f>
        <v>138494</v>
      </c>
      <c r="F76" s="219"/>
      <c r="H76" s="167">
        <f>H74-H75</f>
        <v>138494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16607</v>
      </c>
      <c r="D77" s="164">
        <f>C77/$C$74</f>
        <v>0.11648068007266453</v>
      </c>
      <c r="E77" s="186">
        <f>E74*F77</f>
        <v>16607</v>
      </c>
      <c r="F77" s="165">
        <f>I77</f>
        <v>0.11648068007266453</v>
      </c>
      <c r="H77" s="205">
        <f>D77*H74</f>
        <v>16607</v>
      </c>
      <c r="I77" s="165">
        <f>H77/$H$74</f>
        <v>0.11648068007266453</v>
      </c>
      <c r="K77" s="24"/>
    </row>
    <row r="78" spans="1:11" ht="15" customHeight="1" x14ac:dyDescent="0.15">
      <c r="B78" s="35" t="s">
        <v>97</v>
      </c>
      <c r="C78" s="166">
        <f>C76-C77</f>
        <v>121887</v>
      </c>
      <c r="D78" s="219"/>
      <c r="E78" s="167">
        <f>E76-E77</f>
        <v>121887</v>
      </c>
      <c r="F78" s="219"/>
      <c r="H78" s="167">
        <f>H76-H77</f>
        <v>121887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77411</v>
      </c>
      <c r="D79" s="164">
        <f>C79/$C$74</f>
        <v>0.54295694135635775</v>
      </c>
      <c r="E79" s="186">
        <f>E74*F79</f>
        <v>77411</v>
      </c>
      <c r="F79" s="165">
        <f t="shared" ref="F79:F84" si="3">I79</f>
        <v>0.54295694135635775</v>
      </c>
      <c r="H79" s="205">
        <f>C79</f>
        <v>77411</v>
      </c>
      <c r="I79" s="165">
        <f>H79/$H$74</f>
        <v>0.54295694135635775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2134</v>
      </c>
      <c r="D82" s="164">
        <f>C82/$C$74</f>
        <v>1.4967770896312765E-2</v>
      </c>
      <c r="E82" s="186">
        <f>E74*F82</f>
        <v>2134</v>
      </c>
      <c r="F82" s="165">
        <f t="shared" si="3"/>
        <v>1.4967770896312765E-2</v>
      </c>
      <c r="H82" s="205">
        <f>H74*D82</f>
        <v>2134</v>
      </c>
      <c r="I82" s="165">
        <f>H82/$H$74</f>
        <v>1.4967770896312765E-2</v>
      </c>
      <c r="K82" s="24"/>
    </row>
    <row r="83" spans="1:11" ht="15" customHeight="1" thickBot="1" x14ac:dyDescent="0.2">
      <c r="B83" s="106" t="s">
        <v>134</v>
      </c>
      <c r="C83" s="168">
        <f>C78-C79-C80-C81-C82</f>
        <v>42342</v>
      </c>
      <c r="D83" s="169">
        <f>C83/$C$74</f>
        <v>0.29698470257341852</v>
      </c>
      <c r="E83" s="170">
        <f>E78-E79-E80-E81-E82</f>
        <v>42342</v>
      </c>
      <c r="F83" s="169">
        <f>E83/E74</f>
        <v>0.29698470257341852</v>
      </c>
      <c r="H83" s="170">
        <f>H78-H79-H80-H81-H82</f>
        <v>42342</v>
      </c>
      <c r="I83" s="169">
        <f>H83/$H$74</f>
        <v>0.29698470257341852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0.22500000000000001</v>
      </c>
      <c r="E84" s="221"/>
      <c r="F84" s="185">
        <f t="shared" si="3"/>
        <v>0.22500000000000001</v>
      </c>
      <c r="H84" s="221"/>
      <c r="I84" s="211">
        <f>Inputs!C16</f>
        <v>0.22500000000000001</v>
      </c>
      <c r="K84" s="24"/>
    </row>
    <row r="85" spans="1:11" ht="15" customHeight="1" x14ac:dyDescent="0.15">
      <c r="B85" s="86" t="s">
        <v>176</v>
      </c>
      <c r="C85" s="166">
        <f>C83*(1-I84)</f>
        <v>32815.050000000003</v>
      </c>
      <c r="D85" s="171">
        <f>C85/$C$74</f>
        <v>0.23016314449439937</v>
      </c>
      <c r="E85" s="172">
        <f>E83*(1-F84)</f>
        <v>32815.050000000003</v>
      </c>
      <c r="F85" s="171">
        <f>E85/E74</f>
        <v>0.23016314449439937</v>
      </c>
      <c r="H85" s="172">
        <f>H83*(1-I84)</f>
        <v>32815.050000000003</v>
      </c>
      <c r="I85" s="171">
        <f>H85/$H$74</f>
        <v>0.23016314449439937</v>
      </c>
      <c r="K85" s="24"/>
    </row>
    <row r="86" spans="1:11" ht="15" customHeight="1" x14ac:dyDescent="0.15">
      <c r="B86" s="87" t="s">
        <v>172</v>
      </c>
      <c r="C86" s="173">
        <f>C85*Data!C4/Common_Shares</f>
        <v>3.1037294991863971</v>
      </c>
      <c r="D86" s="218"/>
      <c r="E86" s="174">
        <f>E85*Data!C4/Common_Shares</f>
        <v>3.1037294991863971</v>
      </c>
      <c r="F86" s="218"/>
      <c r="H86" s="174">
        <f>H85*Data!C4/Common_Shares</f>
        <v>3.1037294991863971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0.12219407660628891</v>
      </c>
      <c r="D87" s="218"/>
      <c r="E87" s="239">
        <f>E86*Exchange_Rate/Dashboard!G3</f>
        <v>0.12219407660628891</v>
      </c>
      <c r="F87" s="218"/>
      <c r="H87" s="239">
        <f>H86*Exchange_Rate/Dashboard!G3</f>
        <v>0.12219407660628891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1.7149999999999999</v>
      </c>
      <c r="D88" s="171">
        <f>C88/C86</f>
        <v>0.55256104001639483</v>
      </c>
      <c r="E88" s="204">
        <f>H88</f>
        <v>1.48</v>
      </c>
      <c r="F88" s="171">
        <f>E88/E86</f>
        <v>0.47684567884796758</v>
      </c>
      <c r="H88" s="176">
        <f>Inputs!F6</f>
        <v>1.48</v>
      </c>
      <c r="I88" s="171">
        <f>H88/H86</f>
        <v>0.47684567884796758</v>
      </c>
      <c r="K88" s="24"/>
    </row>
    <row r="89" spans="1:11" ht="15" customHeight="1" x14ac:dyDescent="0.15">
      <c r="B89" s="87" t="s">
        <v>244</v>
      </c>
      <c r="C89" s="165">
        <f>C88*Exchange_Rate/Dashboard!G3</f>
        <v>6.7519686053414019E-2</v>
      </c>
      <c r="D89" s="218"/>
      <c r="E89" s="165">
        <f>E88*Exchange_Rate/Dashboard!G3</f>
        <v>5.8267717410526387E-2</v>
      </c>
      <c r="F89" s="218"/>
      <c r="H89" s="165">
        <f>H88*Exchange_Rate/Dashboard!G3</f>
        <v>5.8267717410526387E-2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HK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15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83.691198723645044</v>
      </c>
      <c r="H93" s="87" t="s">
        <v>229</v>
      </c>
      <c r="I93" s="146">
        <f>FV(H87,D93,0,-(H86/C93))</f>
        <v>83.691198723645044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29.764289530229039</v>
      </c>
      <c r="H94" s="87" t="s">
        <v>230</v>
      </c>
      <c r="I94" s="146">
        <f>FV(H89,D93,0,-(H88/C93))</f>
        <v>29.764289530229039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642810.51353979704</v>
      </c>
      <c r="E97" s="124">
        <f>PV(C94,D93,0,-F93)*Exchange_Rate</f>
        <v>27.423931997764008</v>
      </c>
      <c r="F97" s="124">
        <f>PV(C93,D93,0,-F93)*Exchange_Rate</f>
        <v>60.798626034719575</v>
      </c>
      <c r="H97" s="124">
        <f>PV(C93,D93,0,-I93)*Exchange_Rate</f>
        <v>60.798626034719575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642810.51353979704</v>
      </c>
      <c r="E100" s="110">
        <f>MAX(E97-H98+F99,0)</f>
        <v>27.423931997764008</v>
      </c>
      <c r="F100" s="110">
        <f>MAX(F97-H98+F99,0)</f>
        <v>60.798626034719575</v>
      </c>
      <c r="H100" s="110">
        <f>MAX(C100*Data!$C$4/Common_Shares,0)</f>
        <v>60.798626034719582</v>
      </c>
      <c r="I100" s="110">
        <f>H100*1.25</f>
        <v>75.998282543399483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228611.83170827487</v>
      </c>
      <c r="E103" s="110">
        <f>PV(C94,D93,0,-F94)*Exchange_Rate</f>
        <v>9.7531623932654519</v>
      </c>
      <c r="F103" s="124">
        <f>PV(C93,D93,0,-F94)*Exchange_Rate</f>
        <v>21.62267879939262</v>
      </c>
      <c r="H103" s="124">
        <f>PV(C93,D93,0,-I94)*Exchange_Rate</f>
        <v>21.62267879939262</v>
      </c>
      <c r="I103" s="110">
        <f>H103*1.25</f>
        <v>27.028348499240774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435711.17262403591</v>
      </c>
      <c r="E106" s="110">
        <f>(E100+E103)/2</f>
        <v>18.588547195514728</v>
      </c>
      <c r="F106" s="124">
        <f>(F100+F103)/2</f>
        <v>41.210652417056096</v>
      </c>
      <c r="H106" s="124">
        <f>(H100+H103)/2</f>
        <v>41.210652417056103</v>
      </c>
      <c r="I106" s="110">
        <f>H106*1.25</f>
        <v>51.513315521320131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