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DFCA9183-C66F-1B4E-820A-939FC34CC1D8}" xr6:coauthVersionLast="47" xr6:coauthVersionMax="47" xr10:uidLastSave="{00000000-0000-0000-0000-000000000000}"/>
  <bookViews>
    <workbookView xWindow="1100" yWindow="110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5" i="4"/>
  <c r="F36" i="3" l="1"/>
  <c r="F37" i="3"/>
  <c r="F35" i="3"/>
  <c r="F20" i="3"/>
  <c r="F19" i="3"/>
  <c r="F6" i="4" l="1"/>
  <c r="H88" i="3" s="1"/>
  <c r="H89" i="3" s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C88" i="3" l="1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J43" i="2"/>
  <c r="L43" i="2"/>
  <c r="E7" i="2"/>
  <c r="C11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J54" i="2" l="1"/>
  <c r="K54" i="2"/>
  <c r="L54" i="2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<sst xmlns="http://schemas.openxmlformats.org/spreadsheetml/2006/main" count="351" uniqueCount="250">
  <si>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</si>
  <si>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</si>
  <si>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</si>
  <si>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</si>
  <si>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</si>
  <si>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</si>
  <si>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</si>
  <si>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</si>
  <si>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</si>
  <si>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</si>
  <si>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</si>
  <si>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</si>
  <si>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</si>
  <si>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</si>
  <si>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</si>
  <si>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</si>
  <si>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</si>
  <si>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</si>
  <si>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</si>
  <si>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</si>
  <si>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</si>
  <si>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</si>
  <si>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</si>
  <si>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</si>
  <si>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</si>
  <si>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</si>
  <si>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</si>
  <si>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</si>
  <si>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</si>
  <si>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</si>
  <si>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</si>
  <si>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</si>
  <si>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</si>
  <si>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</si>
  <si>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</si>
  <si>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</si>
  <si>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</si>
  <si>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</si>
  <si>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</si>
  <si>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</si>
  <si>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</si>
  <si>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</si>
  <si>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</si>
  <si>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</si>
  <si>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</si>
  <si>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</si>
  <si>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</si>
  <si>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</si>
  <si>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</si>
  <si>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</si>
  <si>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</si>
  <si>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</si>
  <si>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</si>
  <si>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</si>
  <si>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</si>
  <si>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</si>
  <si>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</si>
  <si>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</si>
  <si>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</si>
  <si>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</si>
  <si>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</si>
  <si>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</si>
  <si>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</si>
  <si>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</si>
  <si>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</si>
  <si>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</si>
  <si>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</si>
  <si>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</si>
  <si>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</si>
  <si>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</si>
  <si>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</si>
  <si>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</si>
  <si>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</si>
  <si>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</si>
  <si>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</si>
  <si>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</si>
  <si>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</si>
  <si>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</si>
  <si>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</si>
  <si>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</si>
  <si>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</si>
  <si>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</si>
  <si>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</si>
  <si>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</si>
  <si>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</si>
  <si>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</si>
  <si>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</si>
  <si>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</si>
  <si>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</si>
  <si>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</si>
  <si>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</si>
  <si>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</si>
  <si>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</si>
  <si>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</si>
  <si>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</si>
  <si>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</si>
  <si>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</si>
  <si>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</si>
  <si>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</si>
  <si>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</si>
  <si>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</si>
  <si>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</si>
  <si>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</si>
  <si>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</si>
  <si>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</si>
  <si>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</si>
  <si>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</si>
  <si>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</si>
  <si>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</si>
  <si>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</si>
  <si>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</si>
  <si>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</si>
  <si>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</si>
  <si>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</si>
  <si>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</si>
  <si>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</si>
  <si>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</si>
  <si>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</si>
  <si>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</si>
  <si>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</si>
  <si>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</si>
  <si>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</si>
  <si>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</si>
  <si>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</si>
  <si>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</si>
  <si>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</si>
  <si>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</si>
  <si>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</si>
  <si>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</si>
  <si>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</si>
  <si>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</si>
  <si>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</si>
  <si>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</si>
  <si>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</si>
  <si>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</si>
  <si>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</si>
  <si>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</si>
  <si>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</si>
  <si>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</si>
  <si>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</si>
  <si>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</si>
  <si>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</si>
  <si>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</si>
  <si>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</si>
  <si>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</si>
  <si>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</si>
  <si>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</si>
  <si>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</si>
  <si>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</si>
  <si>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</si>
  <si>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</si>
  <si>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</si>
  <si>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</si>
  <si>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</si>
  <si>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</si>
  <si>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</si>
  <si>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</si>
  <si>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</si>
  <si>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</si>
  <si>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</si>
  <si>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</si>
  <si>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</si>
  <si>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</si>
  <si>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</si>
  <si>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</si>
  <si>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</si>
  <si>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</si>
  <si>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</si>
  <si>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</si>
  <si>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</si>
  <si>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</si>
  <si>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</si>
  <si>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</si>
  <si>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</si>
  <si>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</si>
  <si>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</si>
  <si>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</si>
  <si>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</si>
  <si>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</si>
  <si>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</si>
  <si>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</si>
  <si>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</si>
  <si>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</si>
  <si>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</si>
  <si>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</si>
  <si>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</si>
  <si>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</si>
  <si>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</si>
  <si>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</si>
  <si>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</si>
  <si>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</si>
  <si>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</si>
  <si>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</si>
  <si>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</si>
  <si>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</si>
  <si>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</si>
  <si>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</si>
  <si>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</si>
  <si>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</si>
  <si>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</si>
  <si>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</si>
  <si>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</si>
  <si>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</si>
  <si>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</si>
  <si>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</si>
  <si>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</si>
  <si>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</si>
  <si>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</si>
  <si>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</si>
  <si>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</si>
  <si>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</si>
  <si>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</si>
  <si>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</si>
  <si>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</si>
  <si>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</si>
  <si>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</si>
  <si>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</si>
  <si>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</si>
  <si>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</si>
  <si>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</si>
  <si>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</si>
  <si>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</si>
  <si>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</si>
  <si>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</si>
  <si>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</si>
  <si>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</si>
  <si>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</si>
  <si>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</si>
  <si>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</si>
  <si>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</si>
  <si>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</si>
  <si>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</si>
  <si>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</si>
  <si>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</si>
  <si>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</si>
  <si>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</si>
  <si>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</si>
  <si>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</si>
  <si>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</si>
  <si>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</si>
  <si>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</si>
  <si>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</si>
  <si>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</si>
  <si>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Dividend</t>
  </si>
  <si>
    <t>2888.HK</t>
    <phoneticPr fontId="20" type="noConversion"/>
  </si>
  <si>
    <t>Standard Chartered</t>
    <phoneticPr fontId="20" type="noConversion"/>
  </si>
  <si>
    <t>C0014</t>
    <phoneticPr fontId="20" type="noConversion"/>
  </si>
  <si>
    <t>USD</t>
  </si>
  <si>
    <t>UK Tax Rate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</si>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</sst>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0" borderId="0" xfId="0" applyFont="1"/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9" sqref="G29:H2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2888.HK</v>
      </c>
      <c r="D3" s="247"/>
      <c r="E3" s="87"/>
      <c r="F3" s="3" t="s">
        <v>1</v>
      </c>
      <c r="G3" s="133">
        <v>93.900001525878906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Standard Chartered</v>
      </c>
      <c r="D4" s="249"/>
      <c r="E4" s="87"/>
      <c r="F4" s="3" t="s">
        <v>3</v>
      </c>
      <c r="G4" s="252">
        <f>Inputs!C10</f>
        <v>2454657755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230492.36694001048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USD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N</v>
      </c>
      <c r="D7" s="194" t="str">
        <f>Inputs!C9</f>
        <v>C0014</v>
      </c>
      <c r="E7" s="87"/>
      <c r="F7" s="35" t="s">
        <v>6</v>
      </c>
      <c r="G7" s="134">
        <v>7.7830233573913574</v>
      </c>
      <c r="H7" s="71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3.4550297712315887E-2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0.30165569831818656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0.50814791601378884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0.15395701457187932</v>
      </c>
    </row>
    <row r="25" spans="1:8" ht="15.75" customHeight="1" x14ac:dyDescent="0.15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0.16151189334122912</v>
      </c>
    </row>
    <row r="26" spans="1:8" ht="15.75" customHeight="1" x14ac:dyDescent="0.15">
      <c r="B26" s="139" t="s">
        <v>187</v>
      </c>
      <c r="C26" s="177">
        <f>Fin_Analysis!I83</f>
        <v>0.15564608795570875</v>
      </c>
      <c r="F26" s="142" t="s">
        <v>210</v>
      </c>
      <c r="G26" s="184">
        <f>Fin_Analysis!H88*Exchange_Rate/G3</f>
        <v>2.4865888916667429E-2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13.107225785958322</v>
      </c>
      <c r="D29" s="130">
        <f>IF(Fin_Analysis!C108="Profit",Fin_Analysis!I100,IF(Fin_Analysis!C108="Dividend",Fin_Analysis!I103,Fin_Analysis!I106))</f>
        <v>36.323261329652155</v>
      </c>
      <c r="E29" s="87"/>
      <c r="F29" s="132">
        <f>IF(Fin_Analysis!C108="Profit",Fin_Analysis!F100,IF(Fin_Analysis!C108="Dividend",Fin_Analysis!F103,Fin_Analysis!F106))</f>
        <v>29.058609063721725</v>
      </c>
      <c r="G29" s="243">
        <f>IF(Fin_Analysis!C108="Profit",Fin_Analysis!H100,IF(Fin_Analysis!C108="Dividend",Fin_Analysis!H103,Fin_Analysis!H106))</f>
        <v>29.058609063721725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16" sqref="D16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244</v>
      </c>
      <c r="D4" s="240"/>
      <c r="E4" s="241" t="s">
        <v>227</v>
      </c>
      <c r="F4" s="12" t="str">
        <f>C11</f>
        <v>USD</v>
      </c>
    </row>
    <row r="5" spans="1:6" ht="14" x14ac:dyDescent="0.15">
      <c r="B5" s="142" t="s">
        <v>212</v>
      </c>
      <c r="C5" s="198" t="s">
        <v>245</v>
      </c>
      <c r="D5" s="240"/>
      <c r="E5" s="231">
        <f>C18</f>
        <v>45291</v>
      </c>
      <c r="F5" s="232">
        <f>0.21+0.09</f>
        <v>0.3</v>
      </c>
    </row>
    <row r="6" spans="1:6" ht="14" x14ac:dyDescent="0.15">
      <c r="B6" s="142" t="s">
        <v>175</v>
      </c>
      <c r="C6" s="196">
        <v>45606</v>
      </c>
      <c r="D6" s="240"/>
      <c r="E6" s="233" t="s">
        <v>225</v>
      </c>
      <c r="F6" s="232">
        <f>F5</f>
        <v>0.3</v>
      </c>
    </row>
    <row r="7" spans="1:6" ht="14" x14ac:dyDescent="0.15">
      <c r="B7" s="141" t="s">
        <v>4</v>
      </c>
      <c r="C7" s="197">
        <v>8</v>
      </c>
      <c r="D7" s="240"/>
    </row>
    <row r="8" spans="1:6" ht="14" x14ac:dyDescent="0.15">
      <c r="B8" s="141" t="s">
        <v>236</v>
      </c>
      <c r="C8" s="198" t="s">
        <v>71</v>
      </c>
      <c r="D8" s="240"/>
    </row>
    <row r="9" spans="1:6" ht="14" x14ac:dyDescent="0.15">
      <c r="B9" s="141" t="s">
        <v>237</v>
      </c>
      <c r="C9" s="199" t="s">
        <v>246</v>
      </c>
      <c r="D9" s="240"/>
    </row>
    <row r="10" spans="1:6" ht="14" x14ac:dyDescent="0.15">
      <c r="B10" s="141" t="s">
        <v>238</v>
      </c>
      <c r="C10" s="200">
        <v>2454657755</v>
      </c>
      <c r="D10" s="240"/>
    </row>
    <row r="11" spans="1:6" ht="14" x14ac:dyDescent="0.15">
      <c r="B11" s="141" t="s">
        <v>239</v>
      </c>
      <c r="C11" s="199" t="s">
        <v>247</v>
      </c>
      <c r="D11" s="240"/>
    </row>
    <row r="12" spans="1:6" ht="14" x14ac:dyDescent="0.15">
      <c r="B12" s="227" t="s">
        <v>10</v>
      </c>
      <c r="C12" s="228">
        <v>45291</v>
      </c>
      <c r="D12" s="240"/>
    </row>
    <row r="13" spans="1:6" ht="14" x14ac:dyDescent="0.15">
      <c r="B13" s="227" t="s">
        <v>11</v>
      </c>
      <c r="C13" s="229">
        <v>1000000</v>
      </c>
      <c r="D13" s="240"/>
    </row>
    <row r="14" spans="1:6" ht="14" x14ac:dyDescent="0.15">
      <c r="B14" s="227" t="s">
        <v>241</v>
      </c>
      <c r="C14" s="228">
        <v>45473</v>
      </c>
      <c r="D14" s="240"/>
    </row>
    <row r="15" spans="1:6" ht="14" x14ac:dyDescent="0.15">
      <c r="B15" s="227" t="s">
        <v>240</v>
      </c>
      <c r="C15" s="182" t="s">
        <v>205</v>
      </c>
      <c r="D15" s="240"/>
    </row>
    <row r="16" spans="1:6" ht="14" x14ac:dyDescent="0.15">
      <c r="B16" s="234" t="s">
        <v>98</v>
      </c>
      <c r="C16" s="235">
        <v>0.23499999999999999</v>
      </c>
      <c r="D16" s="24" t="s">
        <v>248</v>
      </c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38292</v>
      </c>
      <c r="D19" s="152">
        <v>24836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1323</v>
      </c>
      <c r="D20" s="153">
        <v>1695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11551</v>
      </c>
      <c r="D21" s="153">
        <v>10913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19458</v>
      </c>
      <c r="D26" s="153">
        <v>7659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-7</v>
      </c>
      <c r="D27" s="153">
        <v>-46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/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/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/>
      <c r="D63" s="60">
        <f>D50</f>
        <v>0.9</v>
      </c>
      <c r="E63" s="113"/>
    </row>
    <row r="64" spans="2:5" ht="14" x14ac:dyDescent="0.15">
      <c r="B64" s="3" t="s">
        <v>76</v>
      </c>
      <c r="C64" s="59"/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242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8" sqref="D8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5960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38292</v>
      </c>
      <c r="D6" s="209">
        <f>IF(Inputs!D19="","",Inputs!D19)</f>
        <v>24836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1323</v>
      </c>
      <c r="D8" s="208">
        <f>IF(Inputs!D20="","",Inputs!D20)</f>
        <v>1695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36969</v>
      </c>
      <c r="D9" s="154">
        <f t="shared" si="2"/>
        <v>23141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11551</v>
      </c>
      <c r="D10" s="208">
        <f>IF(Inputs!D21="","",Inputs!D21)</f>
        <v>10913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25418</v>
      </c>
      <c r="D13" s="154">
        <f t="shared" ref="D13:M13" si="4">IF(D6="","",(D9-D10+MAX(D12,0)))</f>
        <v>12228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19458</v>
      </c>
      <c r="D17" s="208">
        <f>IF(Inputs!D26="","",Inputs!D26)</f>
        <v>7659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-7</v>
      </c>
      <c r="D18" s="208">
        <f>IF(Inputs!D27="","",Inputs!D27)</f>
        <v>-46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5960</v>
      </c>
      <c r="D19" s="237">
        <f>IF(D6="","",D9-D10-MAX(D17,0)-MAX(D18,0)/(1-Fin_Analysis!$I$84))</f>
        <v>4569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0.3044429853359597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5960</v>
      </c>
      <c r="D21" s="77">
        <f>IF(D6="","",D13-MAX(D14,0)-MAX(D15,0)-MAX(D16,0)-MAX(D17,0)-MAX(D18,0)/(1-Fin_Analysis!$I$84))</f>
        <v>4569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0.3044429853359597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0.1190692572861172</v>
      </c>
      <c r="D23" s="157">
        <f t="shared" si="7"/>
        <v>0.14073461910130455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4559.3999999999996</v>
      </c>
      <c r="D24" s="77">
        <f>IF(D6="","",D21*(1-Fin_Analysis!$I$84))</f>
        <v>3495.2849999999999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0.3044429853359597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3.4550297712315887E-2</v>
      </c>
      <c r="D42" s="161">
        <f t="shared" si="33"/>
        <v>6.8247704944435494E-2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0.30165569831818656</v>
      </c>
      <c r="D43" s="157">
        <f t="shared" ref="D43:M43" si="34">IF(D6="","",(D10-MAX(D12,0))/D6)</f>
        <v>0.43940248027057499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0.50814791601378884</v>
      </c>
      <c r="D46" s="157">
        <f t="shared" ref="D46:M46" si="37">IF(D6="","",MAX(D17,0)/D6)</f>
        <v>0.30838299243034306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0.15564608795570875</v>
      </c>
      <c r="D48" s="157">
        <f t="shared" si="38"/>
        <v>0.18396682235464648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3.2647651006711409</v>
      </c>
      <c r="D55" s="157">
        <f t="shared" ref="D55:M55" si="43">IF(D21="","",IF(MAX(D17,0)&lt;=0,"-",D17/D21))</f>
        <v>1.6762967826657913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C85" sqref="C8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1000000USD)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38292</v>
      </c>
      <c r="D74" s="218"/>
      <c r="E74" s="205">
        <f>H74</f>
        <v>38292</v>
      </c>
      <c r="F74" s="218"/>
      <c r="H74" s="205">
        <f>C74</f>
        <v>38292</v>
      </c>
      <c r="I74" s="218"/>
      <c r="K74" s="24"/>
    </row>
    <row r="75" spans="1:11" ht="15" customHeight="1" x14ac:dyDescent="0.15">
      <c r="B75" s="105" t="s">
        <v>109</v>
      </c>
      <c r="C75" s="77">
        <f>Data!C8</f>
        <v>1323</v>
      </c>
      <c r="D75" s="164">
        <f>C75/$C$74</f>
        <v>3.4550297712315887E-2</v>
      </c>
      <c r="E75" s="186">
        <f>E74*F75</f>
        <v>1323</v>
      </c>
      <c r="F75" s="165">
        <f>I75</f>
        <v>3.4550297712315887E-2</v>
      </c>
      <c r="H75" s="205">
        <f>D75*H74</f>
        <v>1323</v>
      </c>
      <c r="I75" s="165">
        <f>H75/$H$74</f>
        <v>3.4550297712315887E-2</v>
      </c>
      <c r="K75" s="24"/>
    </row>
    <row r="76" spans="1:11" ht="15" customHeight="1" x14ac:dyDescent="0.15">
      <c r="B76" s="35" t="s">
        <v>96</v>
      </c>
      <c r="C76" s="166">
        <f>C74-C75</f>
        <v>36969</v>
      </c>
      <c r="D76" s="219"/>
      <c r="E76" s="167">
        <f>E74-E75</f>
        <v>36969</v>
      </c>
      <c r="F76" s="219"/>
      <c r="H76" s="167">
        <f>H74-H75</f>
        <v>36969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11551</v>
      </c>
      <c r="D77" s="164">
        <f>C77/$C$74</f>
        <v>0.30165569831818656</v>
      </c>
      <c r="E77" s="186">
        <f>E74*F77</f>
        <v>11551</v>
      </c>
      <c r="F77" s="165">
        <f>I77</f>
        <v>0.30165569831818656</v>
      </c>
      <c r="H77" s="205">
        <f>D77*H74</f>
        <v>11551</v>
      </c>
      <c r="I77" s="165">
        <f>H77/$H$74</f>
        <v>0.30165569831818656</v>
      </c>
      <c r="K77" s="24"/>
    </row>
    <row r="78" spans="1:11" ht="15" customHeight="1" x14ac:dyDescent="0.15">
      <c r="B78" s="35" t="s">
        <v>97</v>
      </c>
      <c r="C78" s="166">
        <f>C76-C77</f>
        <v>25418</v>
      </c>
      <c r="D78" s="219"/>
      <c r="E78" s="167">
        <f>E76-E77</f>
        <v>25418</v>
      </c>
      <c r="F78" s="219"/>
      <c r="H78" s="167">
        <f>H76-H77</f>
        <v>25418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19458</v>
      </c>
      <c r="D79" s="164">
        <f>C79/$C$74</f>
        <v>0.50814791601378884</v>
      </c>
      <c r="E79" s="186">
        <f>E74*F79</f>
        <v>19458.000000000004</v>
      </c>
      <c r="F79" s="165">
        <f t="shared" ref="F79:F84" si="3">I79</f>
        <v>0.50814791601378884</v>
      </c>
      <c r="H79" s="205">
        <f>C79</f>
        <v>19458</v>
      </c>
      <c r="I79" s="165">
        <f>H79/$H$74</f>
        <v>0.50814791601378884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2">
      <c r="B83" s="106" t="s">
        <v>134</v>
      </c>
      <c r="C83" s="168">
        <f>C78-C79-C80-C81-C82</f>
        <v>5960</v>
      </c>
      <c r="D83" s="169">
        <f>C83/$C$74</f>
        <v>0.15564608795570875</v>
      </c>
      <c r="E83" s="170">
        <f>E78-E79-E80-E81-E82</f>
        <v>5959.9999999999964</v>
      </c>
      <c r="F83" s="169">
        <f>E83/E74</f>
        <v>0.15564608795570867</v>
      </c>
      <c r="H83" s="170">
        <f>H78-H79-H80-H81-H82</f>
        <v>5960</v>
      </c>
      <c r="I83" s="169">
        <f>H83/$H$74</f>
        <v>0.15564608795570875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0.23499999999999999</v>
      </c>
      <c r="E84" s="221"/>
      <c r="F84" s="185">
        <f t="shared" si="3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15">
      <c r="B85" s="86" t="s">
        <v>176</v>
      </c>
      <c r="C85" s="166">
        <f>C83*(1-I84)</f>
        <v>4559.3999999999996</v>
      </c>
      <c r="D85" s="171">
        <f>C85/$C$74</f>
        <v>0.1190692572861172</v>
      </c>
      <c r="E85" s="172">
        <f>E83*(1-F84)</f>
        <v>4559.3999999999969</v>
      </c>
      <c r="F85" s="171">
        <f>E85/E74</f>
        <v>0.11906925728611713</v>
      </c>
      <c r="H85" s="172">
        <f>H83*(1-I84)</f>
        <v>4559.3999999999996</v>
      </c>
      <c r="I85" s="171">
        <f>H85/$H$74</f>
        <v>0.1190692572861172</v>
      </c>
      <c r="K85" s="24"/>
    </row>
    <row r="86" spans="1:11" ht="15" customHeight="1" x14ac:dyDescent="0.15">
      <c r="B86" s="87" t="s">
        <v>172</v>
      </c>
      <c r="C86" s="173">
        <f>C85*Data!C4/Common_Shares</f>
        <v>1.8574483512875708</v>
      </c>
      <c r="D86" s="218"/>
      <c r="E86" s="174">
        <f>E85*Data!C4/Common_Shares</f>
        <v>1.8574483512875697</v>
      </c>
      <c r="F86" s="218"/>
      <c r="H86" s="174">
        <f>H85*Data!C4/Common_Shares</f>
        <v>1.8574483512875708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0.15395701457187932</v>
      </c>
      <c r="D87" s="218"/>
      <c r="E87" s="239">
        <f>E86*Exchange_Rate/Dashboard!G3</f>
        <v>0.15395701457187924</v>
      </c>
      <c r="F87" s="218"/>
      <c r="H87" s="239">
        <f>H86*Exchange_Rate/Dashboard!G3</f>
        <v>0.15395701457187932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0.3</v>
      </c>
      <c r="D88" s="171">
        <f>C88/C86</f>
        <v>0.16151189334122912</v>
      </c>
      <c r="E88" s="204">
        <f>H88</f>
        <v>0.3</v>
      </c>
      <c r="F88" s="171">
        <f>E88/E86</f>
        <v>0.1615118933412292</v>
      </c>
      <c r="H88" s="176">
        <f>Inputs!F6</f>
        <v>0.3</v>
      </c>
      <c r="I88" s="171">
        <f>H88/H86</f>
        <v>0.16151189334122912</v>
      </c>
      <c r="K88" s="24"/>
    </row>
    <row r="89" spans="1:11" ht="15" customHeight="1" x14ac:dyDescent="0.15">
      <c r="B89" s="87" t="s">
        <v>249</v>
      </c>
      <c r="C89" s="165">
        <f>C88*Exchange_Rate/Dashboard!G3</f>
        <v>2.4865888916667429E-2</v>
      </c>
      <c r="D89" s="218"/>
      <c r="E89" s="165">
        <f>E88*Exchange_Rate/Dashboard!G3</f>
        <v>2.4865888916667429E-2</v>
      </c>
      <c r="F89" s="218"/>
      <c r="H89" s="165">
        <f>H88*Exchange_Rate/Dashboard!G3</f>
        <v>2.4865888916667429E-2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HK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15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57.586537722287709</v>
      </c>
      <c r="H93" s="87" t="s">
        <v>229</v>
      </c>
      <c r="I93" s="146">
        <f>FV(H87,D93,0,-(H86/C93))</f>
        <v>57.586537722287808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5.1394010856350079</v>
      </c>
      <c r="H94" s="87" t="s">
        <v>230</v>
      </c>
      <c r="I94" s="146">
        <f>FV(H89,D93,0,-(H88/C93))</f>
        <v>5.1394010856350079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799234.50818746607</v>
      </c>
      <c r="E97" s="124">
        <f>PV(C94,D93,0,-F93)*Exchange_Rate</f>
        <v>146.86531359993486</v>
      </c>
      <c r="F97" s="124">
        <f>PV(C93,D93,0,-F93)*Exchange_Rate</f>
        <v>325.59916206626724</v>
      </c>
      <c r="H97" s="124">
        <f>PV(C93,D93,0,-I93)*Exchange_Rate</f>
        <v>325.59916206626781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799234.50818746607</v>
      </c>
      <c r="E100" s="110">
        <f>MAX(E97-H98+F99,0)</f>
        <v>146.86531359993486</v>
      </c>
      <c r="F100" s="110">
        <f>MAX(F97-H98+F99,0)</f>
        <v>325.59916206626724</v>
      </c>
      <c r="H100" s="110">
        <f>MAX(C100*Data!$C$4/Common_Shares,0)</f>
        <v>325.59916206626781</v>
      </c>
      <c r="I100" s="110">
        <f>H100*1.25</f>
        <v>406.99895258283476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71328.94008777781</v>
      </c>
      <c r="E103" s="110">
        <f>PV(C94,D93,0,-F94)*Exchange_Rate</f>
        <v>13.107225785958322</v>
      </c>
      <c r="F103" s="124">
        <f>PV(C93,D93,0,-F94)*Exchange_Rate</f>
        <v>29.058609063721725</v>
      </c>
      <c r="H103" s="124">
        <f>PV(C93,D93,0,-I94)*Exchange_Rate</f>
        <v>29.058609063721725</v>
      </c>
      <c r="I103" s="110">
        <f>H103*1.25</f>
        <v>36.323261329652155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435281.72413762129</v>
      </c>
      <c r="E106" s="110">
        <f>(E100+E103)/2</f>
        <v>79.986269692946593</v>
      </c>
      <c r="F106" s="124">
        <f>(F100+F103)/2</f>
        <v>177.32888556499449</v>
      </c>
      <c r="H106" s="124">
        <f>(H100+H103)/2</f>
        <v>177.32888556499478</v>
      </c>
      <c r="I106" s="110">
        <f>H106*1.25</f>
        <v>221.66110695624349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