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DDDA1B33-A71E-0C46-A633-BD4D63FE9973}" xr6:coauthVersionLast="47" xr6:coauthVersionMax="47" xr10:uidLastSave="{00000000-0000-0000-0000-000000000000}"/>
  <bookViews>
    <workbookView xWindow="2200" yWindow="2200" windowWidth="12700" windowHeight="7640" activeTab="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8" i="3" l="1"/>
  <c r="E89" i="3" s="1"/>
  <c r="F5" i="4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46" i="2" l="1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L54" i="2" s="1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<sst xmlns="http://schemas.openxmlformats.org/spreadsheetml/2006/main" count="350" uniqueCount="250">
  <si>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</si>
  <si>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</si>
  <si>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</si>
  <si>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</si>
  <si>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</si>
  <si>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</si>
  <si>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</si>
  <si>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</si>
  <si>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</si>
  <si>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</si>
  <si>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</si>
  <si>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</si>
  <si>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</si>
  <si>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</si>
  <si>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</si>
  <si>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</si>
  <si>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</si>
  <si>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</si>
  <si>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</si>
  <si>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</si>
  <si>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</si>
  <si>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</si>
  <si>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</si>
  <si>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</si>
  <si>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</si>
  <si>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</si>
  <si>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</si>
  <si>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</si>
  <si>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</si>
  <si>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</si>
  <si>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</si>
  <si>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</si>
  <si>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</si>
  <si>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</si>
  <si>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</si>
  <si>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</si>
  <si>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</si>
  <si>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</si>
  <si>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</si>
  <si>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</si>
  <si>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</si>
  <si>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</si>
  <si>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</si>
  <si>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</si>
  <si>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</si>
  <si>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</si>
  <si>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</si>
  <si>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</si>
  <si>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</si>
  <si>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</si>
  <si>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</si>
  <si>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</si>
  <si>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</si>
  <si>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</si>
  <si>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</si>
  <si>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</si>
  <si>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</si>
  <si>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</si>
  <si>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</si>
  <si>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</si>
  <si>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</si>
  <si>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</si>
  <si>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</si>
  <si>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</si>
  <si>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</si>
  <si>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</si>
  <si>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</si>
  <si>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</si>
  <si>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</si>
  <si>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</si>
  <si>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</si>
  <si>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</si>
  <si>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</si>
  <si>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</si>
  <si>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</si>
  <si>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</si>
  <si>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</si>
  <si>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</si>
  <si>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</si>
  <si>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</si>
  <si>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</si>
  <si>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</si>
  <si>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</si>
  <si>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</si>
  <si>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</si>
  <si>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</si>
  <si>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</si>
  <si>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</si>
  <si>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</si>
  <si>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</si>
  <si>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</si>
  <si>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</si>
  <si>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</si>
  <si>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</si>
  <si>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</si>
  <si>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</si>
  <si>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</si>
  <si>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</si>
  <si>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</si>
  <si>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</si>
  <si>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</si>
  <si>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</si>
  <si>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</si>
  <si>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</si>
  <si>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</si>
  <si>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</si>
  <si>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</si>
  <si>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</si>
  <si>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</si>
  <si>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</si>
  <si>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</si>
  <si>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</si>
  <si>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</si>
  <si>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</si>
  <si>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</si>
  <si>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</si>
  <si>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</si>
  <si>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</si>
  <si>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</si>
  <si>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</si>
  <si>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</si>
  <si>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</si>
  <si>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</si>
  <si>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</si>
  <si>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</si>
  <si>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</si>
  <si>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</si>
  <si>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</si>
  <si>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</si>
  <si>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</si>
  <si>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</si>
  <si>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</si>
  <si>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</si>
  <si>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</si>
  <si>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</si>
  <si>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</si>
  <si>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</si>
  <si>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</si>
  <si>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</si>
  <si>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</si>
  <si>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</si>
  <si>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</si>
  <si>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</si>
  <si>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</si>
  <si>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</si>
  <si>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</si>
  <si>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</si>
  <si>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</si>
  <si>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</si>
  <si>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</si>
  <si>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</si>
  <si>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</si>
  <si>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</si>
  <si>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</si>
  <si>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</si>
  <si>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</si>
  <si>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</si>
  <si>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</si>
  <si>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</si>
  <si>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</si>
  <si>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</si>
  <si>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</si>
  <si>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</si>
  <si>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</si>
  <si>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</si>
  <si>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</si>
  <si>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</si>
  <si>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</si>
  <si>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</si>
  <si>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</si>
  <si>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</si>
  <si>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</si>
  <si>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</si>
  <si>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</si>
  <si>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</si>
  <si>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</si>
  <si>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</si>
  <si>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</si>
  <si>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</si>
  <si>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</si>
  <si>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</si>
  <si>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</si>
  <si>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</si>
  <si>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</si>
  <si>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</si>
  <si>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</si>
  <si>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</si>
  <si>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</si>
  <si>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</si>
  <si>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</si>
  <si>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</si>
  <si>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</si>
  <si>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</si>
  <si>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</si>
  <si>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</si>
  <si>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</si>
  <si>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</si>
  <si>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</si>
  <si>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</si>
  <si>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</si>
  <si>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</si>
  <si>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</si>
  <si>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</si>
  <si>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</si>
  <si>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</si>
  <si>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</si>
  <si>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</si>
  <si>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</si>
  <si>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</si>
  <si>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</si>
  <si>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</si>
  <si>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</si>
  <si>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</si>
  <si>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</si>
  <si>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</si>
  <si>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</si>
  <si>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</si>
  <si>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</si>
  <si>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</si>
  <si>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</si>
  <si>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</si>
  <si>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</si>
  <si>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</si>
  <si>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</si>
  <si>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</si>
  <si>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</si>
  <si>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</si>
  <si>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</si>
  <si>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</si>
  <si>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</si>
  <si>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</si>
  <si>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</si>
  <si>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</si>
  <si>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</si>
  <si>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</si>
  <si>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</si>
  <si>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</si>
  <si>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</si>
  <si>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</si>
  <si>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</si>
  <si>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</si>
  <si>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</si>
  <si>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</si>
  <si>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</si>
  <si>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</si>
  <si>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</si>
  <si>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中国银行</t>
    <phoneticPr fontId="20" type="noConversion"/>
  </si>
  <si>
    <t>3988.HK</t>
    <phoneticPr fontId="20" type="noConversion"/>
  </si>
  <si>
    <t>C0014</t>
    <phoneticPr fontId="20" type="noConversion"/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</si>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</sst>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9" sqref="D9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3988.HK : 中国银行</v>
      </c>
      <c r="D2" s="87"/>
      <c r="E2" s="7"/>
      <c r="F2" s="7"/>
      <c r="G2" s="86"/>
      <c r="H2" s="86"/>
    </row>
    <row r="3" spans="1:10" ht="15.75" customHeight="1" x14ac:dyDescent="0.15">
      <c r="B3" s="3" t="s">
        <v>211</v>
      </c>
      <c r="C3" s="245" t="str">
        <f>Inputs!C4</f>
        <v>3988.HK</v>
      </c>
      <c r="D3" s="246"/>
      <c r="E3" s="87"/>
      <c r="F3" s="3" t="s">
        <v>1</v>
      </c>
      <c r="G3" s="133">
        <v>3.619999885559082</v>
      </c>
      <c r="H3" s="135" t="s">
        <v>2</v>
      </c>
    </row>
    <row r="4" spans="1:10" ht="15.75" customHeight="1" x14ac:dyDescent="0.15">
      <c r="B4" s="35" t="s">
        <v>212</v>
      </c>
      <c r="C4" s="247" t="str">
        <f>Inputs!C5</f>
        <v>中国银行</v>
      </c>
      <c r="D4" s="248"/>
      <c r="E4" s="87"/>
      <c r="F4" s="3" t="s">
        <v>3</v>
      </c>
      <c r="G4" s="251">
        <f>Inputs!C10</f>
        <v>294387791241</v>
      </c>
      <c r="H4" s="251"/>
      <c r="I4" s="39"/>
    </row>
    <row r="5" spans="1:10" ht="15.75" customHeight="1" x14ac:dyDescent="0.15">
      <c r="B5" s="3" t="s">
        <v>175</v>
      </c>
      <c r="C5" s="249">
        <f>Inputs!C6</f>
        <v>45605</v>
      </c>
      <c r="D5" s="250"/>
      <c r="E5" s="34"/>
      <c r="F5" s="35" t="s">
        <v>102</v>
      </c>
      <c r="G5" s="243">
        <f>G3*G4/1000000</f>
        <v>1065683.7706024109</v>
      </c>
      <c r="H5" s="243"/>
      <c r="I5" s="38"/>
      <c r="J5" s="28"/>
    </row>
    <row r="6" spans="1:10" ht="15.75" customHeight="1" x14ac:dyDescent="0.15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15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1.074550986289978</v>
      </c>
      <c r="H7" s="71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40" t="s">
        <v>207</v>
      </c>
      <c r="F9" s="144" t="s">
        <v>201</v>
      </c>
    </row>
    <row r="10" spans="1:10" ht="15.75" customHeight="1" x14ac:dyDescent="0.15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2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15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15"/>
    <row r="14" spans="1:10" ht="15.75" customHeight="1" x14ac:dyDescent="0.15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15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2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15">
      <c r="B17" s="87" t="s">
        <v>196</v>
      </c>
      <c r="C17" s="181">
        <v>7.1999999999999995E-2</v>
      </c>
      <c r="D17" s="182"/>
    </row>
    <row r="18" spans="1:8" ht="15.75" customHeight="1" x14ac:dyDescent="0.15"/>
    <row r="19" spans="1:8" ht="15.75" customHeight="1" x14ac:dyDescent="0.15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15">
      <c r="B20" s="138" t="s">
        <v>181</v>
      </c>
      <c r="C20" s="177">
        <f>Fin_Analysis!I75</f>
        <v>1.1832950701880444E-2</v>
      </c>
      <c r="F20" s="87" t="s">
        <v>231</v>
      </c>
      <c r="G20" s="178">
        <v>0.25</v>
      </c>
    </row>
    <row r="21" spans="1:8" ht="15.75" customHeight="1" x14ac:dyDescent="0.15">
      <c r="B21" s="138" t="s">
        <v>182</v>
      </c>
      <c r="C21" s="177">
        <f>Fin_Analysis!I77</f>
        <v>0.19534620844359546</v>
      </c>
      <c r="F21" s="87"/>
      <c r="G21" s="29"/>
    </row>
    <row r="22" spans="1:8" ht="15.75" customHeight="1" x14ac:dyDescent="0.15">
      <c r="B22" s="138" t="s">
        <v>183</v>
      </c>
      <c r="C22" s="177">
        <f>Fin_Analysis!I79</f>
        <v>0.51024868123587042</v>
      </c>
      <c r="F22" s="143" t="s">
        <v>200</v>
      </c>
    </row>
    <row r="23" spans="1:8" ht="15.75" customHeight="1" x14ac:dyDescent="0.15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15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0.2329296399297352</v>
      </c>
    </row>
    <row r="25" spans="1:8" ht="15.75" customHeight="1" x14ac:dyDescent="0.15">
      <c r="B25" s="138" t="s">
        <v>208</v>
      </c>
      <c r="C25" s="177">
        <f>Fin_Analysis!I82</f>
        <v>1.267678449378735E-2</v>
      </c>
      <c r="F25" s="141" t="s">
        <v>188</v>
      </c>
      <c r="G25" s="177">
        <f>Fin_Analysis!I88</f>
        <v>0.38230939416382581</v>
      </c>
    </row>
    <row r="26" spans="1:8" ht="15.75" customHeight="1" x14ac:dyDescent="0.15">
      <c r="B26" s="139" t="s">
        <v>187</v>
      </c>
      <c r="C26" s="177">
        <f>Fin_Analysis!I83</f>
        <v>0.26989537512486639</v>
      </c>
      <c r="F26" s="142" t="s">
        <v>210</v>
      </c>
      <c r="G26" s="184">
        <f>Fin_Analysis!H88*Exchange_Rate/G3</f>
        <v>8.9051189524335161E-2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15">
      <c r="B29" s="87" t="s">
        <v>180</v>
      </c>
      <c r="C29" s="131">
        <f>IF(Fin_Analysis!C108="Profit",Fin_Analysis!F100,IF(Fin_Analysis!C108="Dividend",Fin_Analysis!E103,Fin_Analysis!E106))</f>
        <v>1.622783345234794</v>
      </c>
      <c r="D29" s="130">
        <f>IF(Fin_Analysis!C108="Profit",Fin_Analysis!I100,IF(Fin_Analysis!C108="Dividend",Fin_Analysis!I103,Fin_Analysis!I106))</f>
        <v>6.0561042180804749</v>
      </c>
      <c r="E29" s="87"/>
      <c r="F29" s="132">
        <f>IF(Fin_Analysis!C108="Profit",Fin_Analysis!F100,IF(Fin_Analysis!C108="Dividend",Fin_Analysis!F103,Fin_Analysis!F106))</f>
        <v>3.4981359210976133</v>
      </c>
      <c r="G29" s="242">
        <f>IF(Fin_Analysis!C108="Profit",Fin_Analysis!H100,IF(Fin_Analysis!C108="Dividend",Fin_Analysis!H103,Fin_Analysis!H106))</f>
        <v>4.8448833744643798</v>
      </c>
      <c r="H29" s="242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235</v>
      </c>
    </row>
    <row r="4" spans="1:6" ht="14" x14ac:dyDescent="0.15">
      <c r="B4" s="142" t="s">
        <v>211</v>
      </c>
      <c r="C4" s="195" t="s">
        <v>247</v>
      </c>
      <c r="F4" s="201" t="s">
        <v>227</v>
      </c>
    </row>
    <row r="5" spans="1:6" ht="15" x14ac:dyDescent="0.2">
      <c r="B5" s="142" t="s">
        <v>212</v>
      </c>
      <c r="C5" s="240" t="s">
        <v>246</v>
      </c>
      <c r="E5" s="231">
        <f>C18</f>
        <v>45291</v>
      </c>
      <c r="F5" s="232">
        <f>0.2364+0.1208</f>
        <v>0.35720000000000002</v>
      </c>
    </row>
    <row r="6" spans="1:6" ht="14" x14ac:dyDescent="0.15">
      <c r="B6" s="142" t="s">
        <v>175</v>
      </c>
      <c r="C6" s="196">
        <v>45605</v>
      </c>
      <c r="E6" s="233" t="s">
        <v>225</v>
      </c>
      <c r="F6" s="232">
        <v>0.3</v>
      </c>
    </row>
    <row r="7" spans="1:6" ht="14" x14ac:dyDescent="0.15">
      <c r="B7" s="141" t="s">
        <v>4</v>
      </c>
      <c r="C7" s="197">
        <v>8</v>
      </c>
    </row>
    <row r="8" spans="1:6" ht="14" x14ac:dyDescent="0.15">
      <c r="B8" s="141" t="s">
        <v>236</v>
      </c>
      <c r="C8" s="198" t="s">
        <v>46</v>
      </c>
    </row>
    <row r="9" spans="1:6" ht="14" x14ac:dyDescent="0.15">
      <c r="B9" s="141" t="s">
        <v>237</v>
      </c>
      <c r="C9" s="199" t="s">
        <v>248</v>
      </c>
    </row>
    <row r="10" spans="1:6" ht="14" x14ac:dyDescent="0.15">
      <c r="B10" s="141" t="s">
        <v>238</v>
      </c>
      <c r="C10" s="200">
        <v>294387791241</v>
      </c>
    </row>
    <row r="11" spans="1:6" ht="14" x14ac:dyDescent="0.15">
      <c r="B11" s="141" t="s">
        <v>239</v>
      </c>
      <c r="C11" s="199" t="s">
        <v>243</v>
      </c>
    </row>
    <row r="12" spans="1:6" ht="14" x14ac:dyDescent="0.15">
      <c r="B12" s="227" t="s">
        <v>10</v>
      </c>
      <c r="C12" s="228">
        <v>45291</v>
      </c>
    </row>
    <row r="13" spans="1:6" ht="14" x14ac:dyDescent="0.15">
      <c r="B13" s="227" t="s">
        <v>11</v>
      </c>
      <c r="C13" s="229">
        <v>1000000</v>
      </c>
    </row>
    <row r="14" spans="1:6" ht="14" x14ac:dyDescent="0.15">
      <c r="B14" s="227" t="s">
        <v>241</v>
      </c>
      <c r="C14" s="228">
        <v>45473</v>
      </c>
    </row>
    <row r="15" spans="1:6" ht="14" x14ac:dyDescent="0.15">
      <c r="B15" s="227" t="s">
        <v>240</v>
      </c>
      <c r="C15" s="182" t="s">
        <v>244</v>
      </c>
    </row>
    <row r="16" spans="1:6" ht="14" x14ac:dyDescent="0.15">
      <c r="B16" s="234" t="s">
        <v>98</v>
      </c>
      <c r="C16" s="235">
        <v>0.25</v>
      </c>
    </row>
    <row r="18" spans="2:13" ht="15" x14ac:dyDescent="0.15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5" x14ac:dyDescent="0.15">
      <c r="B19" s="94" t="s">
        <v>12</v>
      </c>
      <c r="C19" s="152">
        <v>1141220</v>
      </c>
      <c r="D19" s="152">
        <v>967950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5" x14ac:dyDescent="0.15">
      <c r="B20" s="97" t="s">
        <v>109</v>
      </c>
      <c r="C20" s="153">
        <v>13504</v>
      </c>
      <c r="D20" s="153">
        <v>12212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5" x14ac:dyDescent="0.15">
      <c r="B21" s="97" t="s">
        <v>107</v>
      </c>
      <c r="C21" s="153">
        <v>222933</v>
      </c>
      <c r="D21" s="153">
        <v>199506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5" x14ac:dyDescent="0.15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5" x14ac:dyDescent="0.15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5" x14ac:dyDescent="0.15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5" x14ac:dyDescent="0.15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5" x14ac:dyDescent="0.15">
      <c r="B26" s="97" t="s">
        <v>129</v>
      </c>
      <c r="C26" s="153">
        <v>582306</v>
      </c>
      <c r="D26" s="153">
        <v>421582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4" x14ac:dyDescent="0.15">
      <c r="B27" s="99" t="s">
        <v>114</v>
      </c>
      <c r="C27" s="153">
        <v>14467</v>
      </c>
      <c r="D27" s="153">
        <v>10203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5" x14ac:dyDescent="0.15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5" x14ac:dyDescent="0.15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5" x14ac:dyDescent="0.15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5" x14ac:dyDescent="0.15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5" x14ac:dyDescent="0.15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5" x14ac:dyDescent="0.15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5" x14ac:dyDescent="0.15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5" x14ac:dyDescent="0.15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5" x14ac:dyDescent="0.15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5" x14ac:dyDescent="0.15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4" x14ac:dyDescent="0.15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4" x14ac:dyDescent="0.15">
      <c r="B40" s="3" t="s">
        <v>38</v>
      </c>
      <c r="C40" s="59"/>
      <c r="D40" s="60">
        <v>0.9</v>
      </c>
      <c r="E40" s="113"/>
    </row>
    <row r="41" spans="2:13" ht="14" x14ac:dyDescent="0.15">
      <c r="B41" s="1" t="s">
        <v>146</v>
      </c>
      <c r="C41" s="59"/>
      <c r="D41" s="60">
        <v>0.8</v>
      </c>
      <c r="E41" s="113"/>
    </row>
    <row r="42" spans="2:13" ht="14" x14ac:dyDescent="0.15">
      <c r="B42" s="3" t="s">
        <v>121</v>
      </c>
      <c r="C42" s="59"/>
      <c r="D42" s="60">
        <f>D43</f>
        <v>0.6</v>
      </c>
      <c r="E42" s="113"/>
    </row>
    <row r="43" spans="2:13" ht="14" x14ac:dyDescent="0.15">
      <c r="B43" s="3" t="s">
        <v>42</v>
      </c>
      <c r="C43" s="59"/>
      <c r="D43" s="60">
        <v>0.6</v>
      </c>
      <c r="E43" s="113"/>
    </row>
    <row r="44" spans="2:13" ht="14" x14ac:dyDescent="0.15">
      <c r="B44" s="3" t="s">
        <v>44</v>
      </c>
      <c r="C44" s="59"/>
      <c r="D44" s="60">
        <v>0.5</v>
      </c>
      <c r="E44" s="113"/>
    </row>
    <row r="45" spans="2:13" ht="14" x14ac:dyDescent="0.15">
      <c r="B45" s="1" t="s">
        <v>170</v>
      </c>
      <c r="C45" s="59"/>
      <c r="D45" s="60">
        <f>D42</f>
        <v>0.6</v>
      </c>
      <c r="E45" s="113"/>
    </row>
    <row r="46" spans="2:13" ht="14" x14ac:dyDescent="0.15">
      <c r="B46" s="3" t="s">
        <v>122</v>
      </c>
      <c r="C46" s="59"/>
      <c r="D46" s="60">
        <v>0.1</v>
      </c>
      <c r="E46" s="113"/>
    </row>
    <row r="47" spans="2:13" ht="14" x14ac:dyDescent="0.15">
      <c r="B47" s="3" t="s">
        <v>47</v>
      </c>
      <c r="C47" s="59"/>
      <c r="D47" s="60">
        <f>D44</f>
        <v>0.5</v>
      </c>
      <c r="E47" s="113"/>
    </row>
    <row r="48" spans="2:13" ht="14" x14ac:dyDescent="0.15">
      <c r="B48" s="1" t="s">
        <v>48</v>
      </c>
      <c r="C48" s="59"/>
      <c r="D48" s="60">
        <f>D42</f>
        <v>0.6</v>
      </c>
      <c r="E48" s="230" t="s">
        <v>71</v>
      </c>
    </row>
    <row r="49" spans="2:5" ht="14" x14ac:dyDescent="0.15">
      <c r="B49" s="3" t="s">
        <v>124</v>
      </c>
      <c r="C49" s="59"/>
      <c r="D49" s="60">
        <v>0.6</v>
      </c>
      <c r="E49" s="230" t="s">
        <v>46</v>
      </c>
    </row>
    <row r="50" spans="2:5" ht="14" x14ac:dyDescent="0.15">
      <c r="B50" s="3" t="s">
        <v>50</v>
      </c>
      <c r="C50" s="59"/>
      <c r="D50" s="60">
        <f>D40</f>
        <v>0.9</v>
      </c>
      <c r="E50" s="113"/>
    </row>
    <row r="51" spans="2:5" ht="14" x14ac:dyDescent="0.15">
      <c r="B51" s="35" t="s">
        <v>51</v>
      </c>
      <c r="C51" s="121"/>
      <c r="D51" s="202">
        <f>D62</f>
        <v>0.05</v>
      </c>
      <c r="E51" s="113"/>
    </row>
    <row r="52" spans="2:5" ht="14" x14ac:dyDescent="0.15">
      <c r="B52" s="3" t="s">
        <v>61</v>
      </c>
      <c r="C52" s="59"/>
      <c r="D52" s="60">
        <f>D41</f>
        <v>0.8</v>
      </c>
      <c r="E52" s="113"/>
    </row>
    <row r="53" spans="2:5" ht="14" x14ac:dyDescent="0.15">
      <c r="B53" s="3" t="s">
        <v>63</v>
      </c>
      <c r="C53" s="59"/>
      <c r="D53" s="60">
        <f>D43</f>
        <v>0.6</v>
      </c>
      <c r="E53" s="113"/>
    </row>
    <row r="54" spans="2:5" ht="14" x14ac:dyDescent="0.15">
      <c r="B54" s="3" t="s">
        <v>65</v>
      </c>
      <c r="C54" s="59"/>
      <c r="D54" s="60">
        <f>D44</f>
        <v>0.5</v>
      </c>
      <c r="E54" s="113"/>
    </row>
    <row r="55" spans="2:5" ht="14" x14ac:dyDescent="0.15">
      <c r="B55" s="1" t="s">
        <v>171</v>
      </c>
      <c r="C55" s="59"/>
      <c r="D55" s="60">
        <f>D54</f>
        <v>0.5</v>
      </c>
      <c r="E55" s="113"/>
    </row>
    <row r="56" spans="2:5" ht="14" x14ac:dyDescent="0.15">
      <c r="B56" s="3" t="s">
        <v>68</v>
      </c>
      <c r="C56" s="59"/>
      <c r="D56" s="60">
        <v>0.4</v>
      </c>
      <c r="E56" s="113"/>
    </row>
    <row r="57" spans="2:5" ht="14" x14ac:dyDescent="0.15">
      <c r="B57" s="3" t="s">
        <v>70</v>
      </c>
      <c r="C57" s="59"/>
      <c r="D57" s="60">
        <v>0.1</v>
      </c>
      <c r="E57" s="230" t="s">
        <v>71</v>
      </c>
    </row>
    <row r="58" spans="2:5" ht="14" x14ac:dyDescent="0.15">
      <c r="B58" s="3" t="s">
        <v>72</v>
      </c>
      <c r="C58" s="59"/>
      <c r="D58" s="60">
        <v>0.2</v>
      </c>
      <c r="E58" s="230" t="s">
        <v>71</v>
      </c>
    </row>
    <row r="59" spans="2:5" ht="14" x14ac:dyDescent="0.15">
      <c r="B59" s="1" t="s">
        <v>49</v>
      </c>
      <c r="C59" s="59"/>
      <c r="D59" s="60">
        <f>D57</f>
        <v>0.1</v>
      </c>
      <c r="E59" s="230" t="s">
        <v>46</v>
      </c>
    </row>
    <row r="60" spans="2:5" ht="14" x14ac:dyDescent="0.15">
      <c r="B60" s="3" t="s">
        <v>123</v>
      </c>
      <c r="C60" s="59"/>
      <c r="D60" s="60">
        <f>D57</f>
        <v>0.1</v>
      </c>
      <c r="E60" s="113"/>
    </row>
    <row r="61" spans="2:5" ht="14" x14ac:dyDescent="0.15">
      <c r="B61" s="3" t="s">
        <v>73</v>
      </c>
      <c r="C61" s="59"/>
      <c r="D61" s="60">
        <f>D62</f>
        <v>0.05</v>
      </c>
      <c r="E61" s="113"/>
    </row>
    <row r="62" spans="2:5" ht="14" x14ac:dyDescent="0.15">
      <c r="B62" s="3" t="s">
        <v>74</v>
      </c>
      <c r="C62" s="59"/>
      <c r="D62" s="60">
        <v>0.05</v>
      </c>
      <c r="E62" s="113"/>
    </row>
    <row r="63" spans="2:5" ht="14" x14ac:dyDescent="0.15">
      <c r="B63" s="3" t="s">
        <v>75</v>
      </c>
      <c r="C63" s="59"/>
      <c r="D63" s="60">
        <f>D50</f>
        <v>0.9</v>
      </c>
      <c r="E63" s="113"/>
    </row>
    <row r="64" spans="2:5" ht="14" x14ac:dyDescent="0.15">
      <c r="B64" s="3" t="s">
        <v>76</v>
      </c>
      <c r="C64" s="59"/>
      <c r="D64" s="60">
        <v>0</v>
      </c>
      <c r="E64" s="113"/>
    </row>
    <row r="65" spans="2:3" ht="14" x14ac:dyDescent="0.15">
      <c r="B65" s="203" t="s">
        <v>37</v>
      </c>
      <c r="C65" s="201"/>
    </row>
    <row r="66" spans="2:3" ht="14" x14ac:dyDescent="0.15">
      <c r="B66" s="3" t="s">
        <v>39</v>
      </c>
      <c r="C66" s="59"/>
    </row>
    <row r="67" spans="2:3" ht="14" x14ac:dyDescent="0.15">
      <c r="B67" s="3" t="s">
        <v>40</v>
      </c>
      <c r="C67" s="59"/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1"/>
    </row>
    <row r="70" spans="2:3" ht="15" thickBot="1" x14ac:dyDescent="0.2">
      <c r="B70" s="80" t="s">
        <v>16</v>
      </c>
      <c r="C70" s="83"/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/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1"/>
    </row>
    <row r="75" spans="2:3" ht="15" thickBot="1" x14ac:dyDescent="0.2">
      <c r="B75" s="80" t="s">
        <v>85</v>
      </c>
      <c r="C75" s="83"/>
    </row>
    <row r="76" spans="2:3" ht="15" thickTop="1" x14ac:dyDescent="0.15">
      <c r="B76" s="73" t="s">
        <v>242</v>
      </c>
      <c r="C76" s="59"/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19" sqref="C19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15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303187.66666666669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15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9">
        <f>IF(Inputs!C19=""," ",Inputs!C19)</f>
        <v>1141220</v>
      </c>
      <c r="D6" s="209">
        <f>IF(Inputs!D19="","",Inputs!D19)</f>
        <v>967950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0.17900718012294026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109</v>
      </c>
      <c r="C8" s="208">
        <f>IF(Inputs!C20="","",Inputs!C20)</f>
        <v>13504</v>
      </c>
      <c r="D8" s="208">
        <f>IF(Inputs!D20="","",Inputs!D20)</f>
        <v>12212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15">
      <c r="A9" s="4"/>
      <c r="B9" s="98" t="s">
        <v>105</v>
      </c>
      <c r="C9" s="154">
        <f t="shared" ref="C9:M9" si="2">IF(C6="","",(C6-C8))</f>
        <v>1127716</v>
      </c>
      <c r="D9" s="154">
        <f t="shared" si="2"/>
        <v>955738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15">
      <c r="A10" s="4"/>
      <c r="B10" s="97" t="s">
        <v>107</v>
      </c>
      <c r="C10" s="208">
        <f>IF(Inputs!C21="","",Inputs!C21)</f>
        <v>222933</v>
      </c>
      <c r="D10" s="208">
        <f>IF(Inputs!D21="","",Inputs!D21)</f>
        <v>199506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15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15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15">
      <c r="A13" s="4"/>
      <c r="B13" s="98" t="s">
        <v>106</v>
      </c>
      <c r="C13" s="154">
        <f>IF(C6="","",(C9-C10+MAX(C12,0)))</f>
        <v>904783</v>
      </c>
      <c r="D13" s="154">
        <f t="shared" ref="D13:M13" si="4">IF(D6="","",(D9-D10+MAX(D12,0)))</f>
        <v>756232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15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15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15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15">
      <c r="A17" s="4"/>
      <c r="B17" s="97" t="s">
        <v>129</v>
      </c>
      <c r="C17" s="208">
        <f>IF(Inputs!C26="","",Inputs!C26)</f>
        <v>582306</v>
      </c>
      <c r="D17" s="208">
        <f>IF(Inputs!D26="","",Inputs!D26)</f>
        <v>421582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15">
      <c r="A18" s="4"/>
      <c r="B18" s="99" t="s">
        <v>114</v>
      </c>
      <c r="C18" s="208">
        <f>IF(Inputs!C27="","",Inputs!C27)</f>
        <v>14467</v>
      </c>
      <c r="D18" s="208">
        <f>IF(Inputs!D27="","",Inputs!D27)</f>
        <v>10203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15">
      <c r="A19" s="4"/>
      <c r="B19" s="236" t="s">
        <v>216</v>
      </c>
      <c r="C19" s="237">
        <f>IF(C6="","",C9-C10-MAX(C17,0)-MAX(C18,0)/(1-Fin_Analysis!$I$84))</f>
        <v>303187.66666666669</v>
      </c>
      <c r="D19" s="237">
        <f>IF(D6="","",D9-D10-MAX(D17,0)-MAX(D18,0)/(1-Fin_Analysis!$I$84))</f>
        <v>321046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15">
      <c r="A20" s="4"/>
      <c r="B20" s="236" t="s">
        <v>217</v>
      </c>
      <c r="C20" s="238">
        <f>IF(D19="","",IF(ABS(C19+D19)=ABS(C19)+ABS(D19),IF(C19&lt;0,-1,1)*(C19-D19)/D19,"Turn"))</f>
        <v>-5.5625465924924511E-2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15">
      <c r="A21" s="4"/>
      <c r="B21" s="94" t="s">
        <v>115</v>
      </c>
      <c r="C21" s="77">
        <f>IF(C6="","",C13-MAX(C14,0)-MAX(C15,0)-MAX(C16,0)-MAX(C17,0)-MAX(C18,0)/(1-Fin_Analysis!$I$84))</f>
        <v>303187.66666666669</v>
      </c>
      <c r="D21" s="77">
        <f>IF(D6="","",D13-MAX(D14,0)-MAX(D15,0)-MAX(D16,0)-MAX(D17,0)-MAX(D18,0)/(1-Fin_Analysis!$I$84))</f>
        <v>321046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15">
      <c r="A22" s="4"/>
      <c r="B22" s="98" t="s">
        <v>116</v>
      </c>
      <c r="C22" s="156">
        <f>IF(D21="","",IF(ABS(C21+D21)=ABS(C21)+ABS(D21),IF(C21&lt;0,-1,1)*(C21-D21)/D21,"Turn"))</f>
        <v>-5.5625465924924511E-2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15">
      <c r="A23" s="4"/>
      <c r="B23" s="100" t="s">
        <v>117</v>
      </c>
      <c r="C23" s="157">
        <f t="shared" ref="C23:M23" si="7">IF(C6="","",C24/C6)</f>
        <v>0.19925233522020294</v>
      </c>
      <c r="D23" s="157">
        <f t="shared" si="7"/>
        <v>0.24875716720905006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15">
      <c r="A24" s="4"/>
      <c r="B24" s="102" t="s">
        <v>118</v>
      </c>
      <c r="C24" s="158">
        <f>IF(C6="","",C21*(1-Fin_Analysis!$I$84))</f>
        <v>227390.75</v>
      </c>
      <c r="D24" s="77">
        <f>IF(D6="","",D21*(1-Fin_Analysis!$I$84))</f>
        <v>240784.5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2">
      <c r="A25" s="4"/>
      <c r="B25" s="101" t="s">
        <v>138</v>
      </c>
      <c r="C25" s="159">
        <f>IF(D24="","",IF(ABS(C24+D24)=ABS(C24)+ABS(D24),IF(C24&lt;0,-1,1)*(C24-D24)/D24,"Turn"))</f>
        <v>-5.5625465924924566E-2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15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15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15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15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15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15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15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15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15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15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99</v>
      </c>
      <c r="C42" s="161">
        <f t="shared" ref="C42:M42" si="33">IF(C6="","",C8/C6)</f>
        <v>1.1832950701880444E-2</v>
      </c>
      <c r="D42" s="161">
        <f t="shared" si="33"/>
        <v>1.2616354150524305E-2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15">
      <c r="A43" s="4"/>
      <c r="B43" s="94" t="s">
        <v>126</v>
      </c>
      <c r="C43" s="157">
        <f>IF(C6="","",(C10-MAX(C12,0))/C6)</f>
        <v>0.19534620844359546</v>
      </c>
      <c r="D43" s="157">
        <f t="shared" ref="D43:M43" si="34">IF(D6="","",(D10-MAX(D12,0))/D6)</f>
        <v>0.20611188594452193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15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15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15">
      <c r="A46" s="4"/>
      <c r="B46" s="94" t="s">
        <v>127</v>
      </c>
      <c r="C46" s="157">
        <f>IF(C6="","",MAX(C17,0)/C6)</f>
        <v>0.51024868123587042</v>
      </c>
      <c r="D46" s="157">
        <f t="shared" ref="D46:M46" si="37">IF(D6="","",MAX(D17,0)/D6)</f>
        <v>0.43554109199855362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15">
      <c r="A47" s="4"/>
      <c r="B47" s="94" t="s">
        <v>139</v>
      </c>
      <c r="C47" s="157">
        <f>IF(C6="","",MAX(C18,0)/(1-Fin_Analysis!$I$84)/C6)</f>
        <v>1.6902379325049798E-2</v>
      </c>
      <c r="D47" s="157">
        <f>IF(D6="","",MAX(D18,0)/(1-Fin_Analysis!$I$84)/D6)</f>
        <v>1.4054444961000051E-2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15">
      <c r="A48" s="4"/>
      <c r="B48" s="94" t="s">
        <v>130</v>
      </c>
      <c r="C48" s="157">
        <f t="shared" ref="C48:M48" si="38">IF(C6="","",C21/C6)</f>
        <v>0.26566978029360394</v>
      </c>
      <c r="D48" s="157">
        <f t="shared" si="38"/>
        <v>0.33167622294540006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15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15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15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15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15">
      <c r="A55" s="4"/>
      <c r="B55" s="94" t="s">
        <v>128</v>
      </c>
      <c r="C55" s="157">
        <f>IF(C21="","",IF(MAX(C17,0)&lt;=0,"-",C17/C21))</f>
        <v>1.9206124259671951</v>
      </c>
      <c r="D55" s="157">
        <f t="shared" ref="D55:M55" si="43">IF(D21="","",IF(MAX(D17,0)&lt;=0,"-",D17/D21))</f>
        <v>1.3131513864056865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15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B76" zoomScaleNormal="100" workbookViewId="0">
      <selection activeCell="F102" sqref="F102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4" x14ac:dyDescent="0.15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4" x14ac:dyDescent="0.15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4" x14ac:dyDescent="0.15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4" x14ac:dyDescent="0.15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2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4" x14ac:dyDescent="0.15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161</v>
      </c>
      <c r="C55" s="3"/>
      <c r="E55" s="126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2">
        <f>I15+I34</f>
        <v>0</v>
      </c>
      <c r="E56" s="250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4" x14ac:dyDescent="0.15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thickTop="1" x14ac:dyDescent="0.15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15">
      <c r="B73" s="12" t="str">
        <f>"(Numbers in "&amp;Data!C4&amp;Dashboard!G6&amp;")"</f>
        <v>(Numbers in 1000000CNY)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15">
      <c r="B74" s="3" t="s">
        <v>136</v>
      </c>
      <c r="C74" s="77">
        <f>Data!C6</f>
        <v>1141220</v>
      </c>
      <c r="D74" s="218"/>
      <c r="E74" s="205">
        <f>H74</f>
        <v>1141220</v>
      </c>
      <c r="F74" s="218"/>
      <c r="H74" s="205">
        <f>C74</f>
        <v>1141220</v>
      </c>
      <c r="I74" s="218"/>
      <c r="K74" s="24"/>
    </row>
    <row r="75" spans="1:11" ht="15" customHeight="1" x14ac:dyDescent="0.15">
      <c r="B75" s="105" t="s">
        <v>109</v>
      </c>
      <c r="C75" s="77">
        <f>Data!C8</f>
        <v>13504</v>
      </c>
      <c r="D75" s="164">
        <f>C75/$C$74</f>
        <v>1.1832950701880444E-2</v>
      </c>
      <c r="E75" s="186">
        <f>E74*F75</f>
        <v>13504</v>
      </c>
      <c r="F75" s="165">
        <f>I75</f>
        <v>1.1832950701880444E-2</v>
      </c>
      <c r="H75" s="205">
        <f>D75*H74</f>
        <v>13504</v>
      </c>
      <c r="I75" s="165">
        <f>H75/$H$74</f>
        <v>1.1832950701880444E-2</v>
      </c>
      <c r="K75" s="24"/>
    </row>
    <row r="76" spans="1:11" ht="15" customHeight="1" x14ac:dyDescent="0.15">
      <c r="B76" s="35" t="s">
        <v>96</v>
      </c>
      <c r="C76" s="166">
        <f>C74-C75</f>
        <v>1127716</v>
      </c>
      <c r="D76" s="219"/>
      <c r="E76" s="167">
        <f>E74-E75</f>
        <v>1127716</v>
      </c>
      <c r="F76" s="219"/>
      <c r="H76" s="167">
        <f>H74-H75</f>
        <v>1127716</v>
      </c>
      <c r="I76" s="219"/>
      <c r="K76" s="24"/>
    </row>
    <row r="77" spans="1:11" ht="15" customHeight="1" x14ac:dyDescent="0.15">
      <c r="B77" s="105" t="s">
        <v>133</v>
      </c>
      <c r="C77" s="77">
        <f>Data!C10-MAX(Data!C12,0)</f>
        <v>222933</v>
      </c>
      <c r="D77" s="164">
        <f>C77/$C$74</f>
        <v>0.19534620844359546</v>
      </c>
      <c r="E77" s="186">
        <f>E74*F77</f>
        <v>222933</v>
      </c>
      <c r="F77" s="165">
        <f>I77</f>
        <v>0.19534620844359546</v>
      </c>
      <c r="H77" s="205">
        <f>D77*H74</f>
        <v>222933</v>
      </c>
      <c r="I77" s="165">
        <f>H77/$H$74</f>
        <v>0.19534620844359546</v>
      </c>
      <c r="K77" s="24"/>
    </row>
    <row r="78" spans="1:11" ht="15" customHeight="1" x14ac:dyDescent="0.15">
      <c r="B78" s="35" t="s">
        <v>97</v>
      </c>
      <c r="C78" s="166">
        <f>C76-C77</f>
        <v>904783</v>
      </c>
      <c r="D78" s="219"/>
      <c r="E78" s="167">
        <f>E76-E77</f>
        <v>904783</v>
      </c>
      <c r="F78" s="219"/>
      <c r="H78" s="167">
        <f>H76-H77</f>
        <v>904783</v>
      </c>
      <c r="I78" s="219"/>
      <c r="K78" s="24"/>
    </row>
    <row r="79" spans="1:11" ht="15" customHeight="1" x14ac:dyDescent="0.15">
      <c r="B79" s="105" t="s">
        <v>129</v>
      </c>
      <c r="C79" s="77">
        <f>MAX(Data!C17,0)</f>
        <v>582306</v>
      </c>
      <c r="D79" s="164">
        <f>C79/$C$74</f>
        <v>0.51024868123587042</v>
      </c>
      <c r="E79" s="186">
        <f>E74*F79</f>
        <v>582306</v>
      </c>
      <c r="F79" s="165">
        <f t="shared" ref="F79:F84" si="3">I79</f>
        <v>0.51024868123587042</v>
      </c>
      <c r="H79" s="205">
        <f>C79</f>
        <v>582306</v>
      </c>
      <c r="I79" s="165">
        <f>H79/$H$74</f>
        <v>0.51024868123587042</v>
      </c>
      <c r="K79" s="24"/>
    </row>
    <row r="80" spans="1:11" ht="15" customHeight="1" x14ac:dyDescent="0.15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15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15">
      <c r="B82" s="73" t="s">
        <v>186</v>
      </c>
      <c r="C82" s="77">
        <f>MAX(Data!C18,0)</f>
        <v>14467</v>
      </c>
      <c r="D82" s="164">
        <f>C82/$C$74</f>
        <v>1.267678449378735E-2</v>
      </c>
      <c r="E82" s="186">
        <f>E74*F82</f>
        <v>14466.999999999998</v>
      </c>
      <c r="F82" s="165">
        <f t="shared" si="3"/>
        <v>1.267678449378735E-2</v>
      </c>
      <c r="H82" s="205">
        <f>H74*D82</f>
        <v>14466.999999999998</v>
      </c>
      <c r="I82" s="165">
        <f>H82/$H$74</f>
        <v>1.267678449378735E-2</v>
      </c>
      <c r="K82" s="24"/>
    </row>
    <row r="83" spans="1:11" ht="15" customHeight="1" thickBot="1" x14ac:dyDescent="0.2">
      <c r="B83" s="106" t="s">
        <v>134</v>
      </c>
      <c r="C83" s="168">
        <f>C78-C79-C80-C81-C82</f>
        <v>308010</v>
      </c>
      <c r="D83" s="169">
        <f>C83/$C$74</f>
        <v>0.26989537512486639</v>
      </c>
      <c r="E83" s="170">
        <f>E78-E79-E80-E81-E82</f>
        <v>308010</v>
      </c>
      <c r="F83" s="169">
        <f>E83/E74</f>
        <v>0.26989537512486639</v>
      </c>
      <c r="H83" s="170">
        <f>H78-H79-H80-H81-H82</f>
        <v>308010</v>
      </c>
      <c r="I83" s="169">
        <f>H83/$H$74</f>
        <v>0.26989537512486639</v>
      </c>
      <c r="K83" s="24"/>
    </row>
    <row r="84" spans="1:11" ht="15" customHeight="1" thickTop="1" x14ac:dyDescent="0.15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15">
      <c r="B85" s="86" t="s">
        <v>176</v>
      </c>
      <c r="C85" s="166">
        <f>C83*(1-I84)</f>
        <v>231007.5</v>
      </c>
      <c r="D85" s="171">
        <f>C85/$C$74</f>
        <v>0.20242153134364979</v>
      </c>
      <c r="E85" s="172">
        <f>E83*(1-F84)</f>
        <v>231007.5</v>
      </c>
      <c r="F85" s="171">
        <f>E85/E74</f>
        <v>0.20242153134364979</v>
      </c>
      <c r="H85" s="172">
        <f>H83*(1-I84)</f>
        <v>231007.5</v>
      </c>
      <c r="I85" s="171">
        <f>H85/$H$74</f>
        <v>0.20242153134364979</v>
      </c>
      <c r="K85" s="24"/>
    </row>
    <row r="86" spans="1:11" ht="15" customHeight="1" x14ac:dyDescent="0.15">
      <c r="B86" s="87" t="s">
        <v>172</v>
      </c>
      <c r="C86" s="173">
        <f>C85*Data!C4/Common_Shares</f>
        <v>0.78470475635617021</v>
      </c>
      <c r="D86" s="218"/>
      <c r="E86" s="174">
        <f>E85*Data!C4/Common_Shares</f>
        <v>0.78470475635617021</v>
      </c>
      <c r="F86" s="218"/>
      <c r="H86" s="174">
        <f>H85*Data!C4/Common_Shares</f>
        <v>0.78470475635617021</v>
      </c>
      <c r="I86" s="218"/>
      <c r="K86" s="24"/>
    </row>
    <row r="87" spans="1:11" ht="15" customHeight="1" x14ac:dyDescent="0.15">
      <c r="B87" s="87" t="s">
        <v>228</v>
      </c>
      <c r="C87" s="165">
        <f>C86*Exchange_Rate/Dashboard!G3</f>
        <v>0.2329296399297352</v>
      </c>
      <c r="D87" s="218"/>
      <c r="E87" s="239">
        <f>E86*Exchange_Rate/Dashboard!G3</f>
        <v>0.2329296399297352</v>
      </c>
      <c r="F87" s="218"/>
      <c r="H87" s="239">
        <f>H86*Exchange_Rate/Dashboard!G3</f>
        <v>0.2329296399297352</v>
      </c>
      <c r="I87" s="218"/>
      <c r="K87" s="24"/>
    </row>
    <row r="88" spans="1:11" ht="15" customHeight="1" x14ac:dyDescent="0.15">
      <c r="B88" s="86" t="s">
        <v>227</v>
      </c>
      <c r="C88" s="175">
        <f>Inputs!F5</f>
        <v>0.35720000000000002</v>
      </c>
      <c r="D88" s="171">
        <f>C88/C86</f>
        <v>0.45520305198439531</v>
      </c>
      <c r="E88" s="204">
        <f>0.2364</f>
        <v>0.2364</v>
      </c>
      <c r="F88" s="171">
        <f>E88/E86</f>
        <v>0.30125980260109475</v>
      </c>
      <c r="H88" s="176">
        <f>Inputs!F6</f>
        <v>0.3</v>
      </c>
      <c r="I88" s="171">
        <f>H88/H86</f>
        <v>0.38230939416382581</v>
      </c>
      <c r="K88" s="24"/>
    </row>
    <row r="89" spans="1:11" ht="15" customHeight="1" x14ac:dyDescent="0.15">
      <c r="B89" s="87" t="s">
        <v>249</v>
      </c>
      <c r="C89" s="165">
        <f>C88*Exchange_Rate/Dashboard!G3</f>
        <v>0.10603028299364174</v>
      </c>
      <c r="D89" s="218"/>
      <c r="E89" s="165">
        <f>E88*Exchange_Rate/Dashboard!G3</f>
        <v>7.0172337345176111E-2</v>
      </c>
      <c r="F89" s="218"/>
      <c r="H89" s="165">
        <f>H88*Exchange_Rate/Dashboard!G3</f>
        <v>8.9051189524335161E-2</v>
      </c>
      <c r="I89" s="218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7" t="s">
        <v>166</v>
      </c>
      <c r="C91" s="21"/>
      <c r="K91" s="50" t="s">
        <v>143</v>
      </c>
    </row>
    <row r="92" spans="1:11" ht="15" customHeight="1" x14ac:dyDescent="0.15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15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31.05026098307097</v>
      </c>
      <c r="H93" s="87" t="s">
        <v>229</v>
      </c>
      <c r="I93" s="146">
        <f>FV(H87,D93,0,-(H86/C93))</f>
        <v>31.05026098307097</v>
      </c>
      <c r="K93" s="24"/>
    </row>
    <row r="94" spans="1:11" ht="15" customHeight="1" x14ac:dyDescent="0.15">
      <c r="B94" s="1" t="s">
        <v>231</v>
      </c>
      <c r="C94" s="188">
        <f>Dashboard!G20</f>
        <v>0.25</v>
      </c>
      <c r="D94" s="147"/>
      <c r="E94" s="87" t="s">
        <v>230</v>
      </c>
      <c r="F94" s="146">
        <f>FV(E89,D93,0,-(E88/C93))</f>
        <v>4.6087545542289696</v>
      </c>
      <c r="H94" s="87" t="s">
        <v>230</v>
      </c>
      <c r="I94" s="146">
        <f>FV(H89,D93,0,-(H88/C93))</f>
        <v>6.3830791085341181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15">
      <c r="B97" s="1" t="s">
        <v>140</v>
      </c>
      <c r="C97" s="91">
        <f>H97*Common_Shares/Data!C4</f>
        <v>6938061.5819655815</v>
      </c>
      <c r="E97" s="124">
        <f>PV(C94,D93,0,-F93)*Exchange_Rate</f>
        <v>10.933072220625348</v>
      </c>
      <c r="F97" s="124">
        <f>PV(C93,D93,0,-F93)*Exchange_Rate</f>
        <v>23.567762619224077</v>
      </c>
      <c r="H97" s="124">
        <f>PV(C93,D93,0,-I93)*Exchange_Rate</f>
        <v>23.567762619224077</v>
      </c>
      <c r="I97" s="224"/>
      <c r="K97" s="24"/>
    </row>
    <row r="98" spans="2:11" ht="15" customHeight="1" x14ac:dyDescent="0.15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2">
      <c r="B99" s="106" t="s">
        <v>156</v>
      </c>
      <c r="C99" s="109">
        <f>(E65+MIN(0,E70))*Exchange_Rate</f>
        <v>0</v>
      </c>
      <c r="E99" s="223"/>
      <c r="F99" s="148">
        <f>H99*0.85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15">
      <c r="B100" s="1" t="s">
        <v>119</v>
      </c>
      <c r="C100" s="91">
        <f>C97-C98+$C$99</f>
        <v>6938061.5819655815</v>
      </c>
      <c r="E100" s="110">
        <f>MAX(E97-H98+F99,0)</f>
        <v>10.933072220625348</v>
      </c>
      <c r="F100" s="110">
        <f>MAX(F97-H98+F99,0)</f>
        <v>23.567762619224077</v>
      </c>
      <c r="H100" s="110">
        <f>MAX(C100*Data!$C$4/Common_Shares,0)</f>
        <v>23.567762619224077</v>
      </c>
      <c r="I100" s="110">
        <f>H100*1.25</f>
        <v>29.459703274030097</v>
      </c>
      <c r="K100" s="24"/>
    </row>
    <row r="101" spans="2:11" ht="15" customHeight="1" x14ac:dyDescent="0.15">
      <c r="F101" s="24"/>
      <c r="K101" s="24"/>
    </row>
    <row r="102" spans="2:11" ht="15" customHeight="1" x14ac:dyDescent="0.15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15">
      <c r="B103" s="1" t="s">
        <v>173</v>
      </c>
      <c r="C103" s="91">
        <f>H103*Common_Shares/Data!C4</f>
        <v>1426274.5154288115</v>
      </c>
      <c r="E103" s="110">
        <f>PV(C94,D93,0,-F94)*Exchange_Rate</f>
        <v>1.622783345234794</v>
      </c>
      <c r="F103" s="124">
        <f>PV(C93,D93,0,-F94)*Exchange_Rate</f>
        <v>3.4981359210976133</v>
      </c>
      <c r="H103" s="124">
        <f>PV(C93,D93,0,-I94)*Exchange_Rate</f>
        <v>4.8448833744643798</v>
      </c>
      <c r="I103" s="110">
        <f>H103*1.25</f>
        <v>6.0561042180804749</v>
      </c>
      <c r="K103" s="24"/>
    </row>
    <row r="104" spans="2:11" ht="15" customHeight="1" x14ac:dyDescent="0.15">
      <c r="F104" s="24"/>
      <c r="K104" s="24"/>
    </row>
    <row r="105" spans="2:11" ht="15" customHeight="1" x14ac:dyDescent="0.15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15">
      <c r="B106" s="1" t="s">
        <v>215</v>
      </c>
      <c r="C106" s="91">
        <f>F106*Common_Shares/Data!C4</f>
        <v>3983935.0446191542</v>
      </c>
      <c r="E106" s="110">
        <f>(E100+E103)/2</f>
        <v>6.277927782930071</v>
      </c>
      <c r="F106" s="124">
        <f>(F100+F103)/2</f>
        <v>13.532949270160845</v>
      </c>
      <c r="H106" s="124">
        <f>(H100+H103)/2</f>
        <v>14.206322996844229</v>
      </c>
      <c r="I106" s="110">
        <f>H106*1.25</f>
        <v>17.757903746055284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2024-11-24T23:17:38Z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