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93A67E6-6E3F-0748-89F8-48A7877BE5B5}" xr6:coauthVersionLast="47" xr6:coauthVersionMax="47" xr10:uidLastSave="{00000000-0000-0000-0000-000000000000}"/>
  <bookViews>
    <workbookView xWindow="740" yWindow="740" windowWidth="12700" windowHeight="764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7" i="2" l="1"/>
  <c r="C47" i="2"/>
  <c r="M47" i="2"/>
  <c r="M22" i="2"/>
  <c r="L47" i="2"/>
  <c r="L22" i="2"/>
  <c r="K22" i="2"/>
  <c r="K47" i="2"/>
  <c r="I22" i="2"/>
  <c r="I47" i="2"/>
  <c r="E47" i="2"/>
  <c r="J22" i="2"/>
  <c r="J47" i="2"/>
  <c r="H47" i="2"/>
  <c r="H22" i="2"/>
  <c r="F47" i="2"/>
  <c r="G47" i="2"/>
  <c r="G22" i="2"/>
  <c r="M14" i="2"/>
  <c r="L15" i="2" s="1"/>
  <c r="M46" i="2"/>
  <c r="J14" i="2"/>
  <c r="J46" i="2"/>
  <c r="L14" i="2"/>
  <c r="L46" i="2"/>
  <c r="K14" i="2"/>
  <c r="J15" i="2" s="1"/>
  <c r="K46" i="2"/>
  <c r="I46" i="2"/>
  <c r="I14" i="2"/>
  <c r="H46" i="2"/>
  <c r="H14" i="2"/>
  <c r="F46" i="2"/>
  <c r="G46" i="2"/>
  <c r="E46" i="2"/>
  <c r="C46" i="2"/>
  <c r="D46" i="2"/>
  <c r="C77" i="3"/>
  <c r="I51" i="2"/>
  <c r="I50" i="2"/>
  <c r="J50" i="2"/>
  <c r="H51" i="2"/>
  <c r="K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K18" i="2"/>
  <c r="I18" i="2"/>
  <c r="G7" i="2"/>
  <c r="G9" i="2"/>
  <c r="G14" i="2" s="1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F3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<sst xmlns="http://schemas.openxmlformats.org/spreadsheetml/2006/main" count="371" uniqueCount="269">
  <si>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</si>
  <si>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</si>
  <si>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</si>
  <si>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</si>
  <si>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</si>
  <si>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</si>
  <si>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</si>
  <si>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</si>
  <si>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</si>
  <si>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</si>
  <si>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</si>
  <si>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</si>
  <si>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</si>
  <si>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</si>
  <si>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</si>
  <si>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</si>
  <si>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</si>
  <si>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</si>
  <si>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</si>
  <si>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</si>
  <si>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</si>
  <si>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</si>
  <si>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</si>
  <si>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</si>
  <si>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</si>
  <si>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</si>
  <si>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</si>
  <si>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</si>
  <si>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</si>
  <si>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</si>
  <si>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</si>
  <si>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</si>
  <si>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</si>
  <si>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</si>
  <si>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</si>
  <si>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</si>
  <si>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</si>
  <si>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</si>
  <si>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</si>
  <si>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</si>
  <si>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</si>
  <si>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</si>
  <si>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</si>
  <si>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</si>
  <si>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</si>
  <si>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</si>
  <si>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</si>
  <si>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</si>
  <si>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</si>
  <si>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</si>
  <si>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</si>
  <si>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</si>
  <si>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</si>
  <si>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</si>
  <si>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</si>
  <si>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</si>
  <si>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</si>
  <si>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</si>
  <si>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</si>
  <si>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</si>
  <si>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</si>
  <si>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</si>
  <si>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</si>
  <si>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</si>
  <si>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</si>
  <si>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</si>
  <si>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</si>
  <si>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</si>
  <si>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</si>
  <si>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</si>
  <si>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</si>
  <si>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</si>
  <si>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</si>
  <si>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</si>
  <si>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</si>
  <si>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</si>
  <si>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</si>
  <si>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</si>
  <si>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</si>
  <si>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</si>
  <si>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</si>
  <si>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</si>
  <si>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</si>
  <si>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</si>
  <si>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</si>
  <si>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</si>
  <si>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</si>
  <si>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</si>
  <si>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</si>
  <si>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</si>
  <si>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</si>
  <si>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</si>
  <si>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</si>
  <si>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</si>
  <si>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</si>
  <si>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</si>
  <si>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</si>
  <si>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</si>
  <si>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</si>
  <si>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</si>
  <si>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</si>
  <si>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</si>
  <si>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</si>
  <si>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</si>
  <si>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</si>
  <si>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</si>
  <si>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</si>
  <si>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</si>
  <si>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</si>
  <si>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</si>
  <si>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</si>
  <si>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</si>
  <si>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</si>
  <si>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</si>
  <si>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</si>
  <si>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</si>
  <si>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</si>
  <si>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</si>
  <si>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</si>
  <si>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</si>
  <si>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</si>
  <si>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</si>
  <si>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</si>
  <si>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</si>
  <si>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</si>
  <si>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</si>
  <si>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</si>
  <si>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</si>
  <si>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</si>
  <si>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</si>
  <si>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</si>
  <si>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</si>
  <si>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</si>
  <si>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</si>
  <si>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</si>
  <si>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</si>
  <si>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</si>
  <si>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</si>
  <si>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</si>
  <si>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</si>
  <si>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</si>
  <si>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</si>
  <si>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</si>
  <si>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</si>
  <si>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</si>
  <si>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</si>
  <si>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</si>
  <si>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</si>
  <si>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</si>
  <si>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</si>
  <si>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</si>
  <si>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</si>
  <si>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</si>
  <si>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</si>
  <si>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</si>
  <si>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</si>
  <si>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</si>
  <si>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</si>
  <si>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</si>
  <si>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</si>
  <si>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</si>
  <si>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</si>
  <si>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</si>
  <si>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</si>
  <si>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</si>
  <si>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</si>
  <si>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</si>
  <si>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</si>
  <si>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</si>
  <si>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</si>
  <si>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</si>
  <si>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</si>
  <si>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</si>
  <si>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</si>
  <si>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</si>
  <si>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</si>
  <si>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</si>
  <si>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</si>
  <si>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</si>
  <si>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</si>
  <si>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</si>
  <si>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</si>
  <si>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</si>
  <si>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</si>
  <si>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</si>
  <si>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</si>
  <si>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</si>
  <si>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</si>
  <si>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</si>
  <si>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</si>
  <si>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</si>
  <si>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</si>
  <si>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</si>
  <si>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</si>
  <si>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</si>
  <si>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</si>
  <si>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</si>
  <si>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</si>
  <si>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</si>
  <si>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</si>
  <si>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</si>
  <si>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</si>
  <si>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</si>
  <si>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</si>
  <si>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</si>
  <si>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</si>
  <si>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</si>
  <si>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</si>
  <si>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</si>
  <si>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</si>
  <si>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</si>
  <si>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</si>
  <si>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</si>
  <si>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</si>
  <si>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</si>
  <si>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</si>
  <si>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</si>
  <si>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</si>
  <si>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</si>
  <si>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</si>
  <si>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</si>
  <si>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</si>
  <si>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</si>
  <si>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</si>
  <si>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</si>
  <si>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</si>
  <si>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</si>
  <si>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</si>
  <si>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</si>
  <si>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</si>
  <si>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</si>
  <si>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</si>
  <si>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</si>
  <si>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</si>
  <si>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</si>
  <si>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</si>
  <si>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</si>
  <si>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</si>
  <si>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</si>
  <si>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</si>
  <si>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</si>
  <si>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</si>
  <si>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</si>
  <si>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</si>
  <si>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</si>
  <si>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</si>
  <si>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</si>
  <si>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</si>
  <si>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</si>
  <si>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</si>
  <si>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</si>
  <si>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</si>
  <si>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</si>
  <si>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</si>
  <si>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</si>
  <si>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</si>
  <si>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Avg</t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</si>
  <si>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</si>
  <si>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</si>
  <si>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</si>
  <si>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</si>
  <si>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6601.HK</t>
  </si>
  <si>
    <t>朝云集团</t>
  </si>
  <si>
    <t>C0007</t>
  </si>
  <si>
    <t>CNY</t>
  </si>
  <si>
    <t>CN</t>
  </si>
  <si>
    <t>Commodity-type Business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</si>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</sst>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6.208277497005729E-4</c:v>
                </c:pt>
                <c:pt idx="3">
                  <c:v>0</c:v>
                </c:pt>
                <c:pt idx="4">
                  <c:v>0</c:v>
                </c:pt>
                <c:pt idx="5">
                  <c:v>1.8148224946381651E-3</c:v>
                </c:pt>
                <c:pt idx="6">
                  <c:v>6.2651609169433978E-2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30" sqref="D30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261</v>
      </c>
      <c r="E4" s="234" t="s">
        <v>215</v>
      </c>
      <c r="F4" s="12" t="str">
        <f>C11</f>
        <v>CNY</v>
      </c>
    </row>
    <row r="5" spans="1:6" ht="14" x14ac:dyDescent="0.15">
      <c r="B5" s="141" t="s">
        <v>203</v>
      </c>
      <c r="C5" s="195" t="s">
        <v>262</v>
      </c>
      <c r="E5" s="228">
        <f>C18</f>
        <v>45291</v>
      </c>
      <c r="F5" s="229">
        <v>0.1178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v>0.1178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263</v>
      </c>
    </row>
    <row r="10" spans="1:6" ht="14" x14ac:dyDescent="0.15">
      <c r="B10" s="140" t="s">
        <v>226</v>
      </c>
      <c r="C10" s="197">
        <v>1333333500</v>
      </c>
    </row>
    <row r="11" spans="1:6" ht="14" x14ac:dyDescent="0.15">
      <c r="B11" s="140" t="s">
        <v>227</v>
      </c>
      <c r="C11" s="196" t="s">
        <v>264</v>
      </c>
    </row>
    <row r="12" spans="1:6" ht="14" x14ac:dyDescent="0.15">
      <c r="B12" s="224" t="s">
        <v>10</v>
      </c>
      <c r="C12" s="225">
        <v>45291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265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1">
        <v>1615585</v>
      </c>
      <c r="D19" s="151">
        <v>1446638</v>
      </c>
      <c r="E19" s="151">
        <v>1769157</v>
      </c>
      <c r="F19" s="151">
        <v>1702154</v>
      </c>
      <c r="G19" s="151">
        <v>1383402</v>
      </c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897327</v>
      </c>
      <c r="D20" s="152">
        <v>845264</v>
      </c>
      <c r="E20" s="152">
        <v>981731</v>
      </c>
      <c r="F20" s="152">
        <v>959572</v>
      </c>
      <c r="G20" s="152">
        <v>783542</v>
      </c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613104</v>
      </c>
      <c r="D21" s="152">
        <v>599182</v>
      </c>
      <c r="E21" s="152">
        <v>705390</v>
      </c>
      <c r="F21" s="152">
        <v>456610</v>
      </c>
      <c r="G21" s="152">
        <v>396643</v>
      </c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1003</v>
      </c>
      <c r="D23" s="152">
        <v>863</v>
      </c>
      <c r="E23" s="152">
        <v>1613</v>
      </c>
      <c r="F23" s="152">
        <v>2645</v>
      </c>
      <c r="G23" s="152">
        <v>299</v>
      </c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2199</v>
      </c>
      <c r="D24" s="152">
        <v>645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>
        <v>-169280</v>
      </c>
      <c r="D25" s="152">
        <v>-50846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>
        <v>35974</v>
      </c>
      <c r="D26" s="152">
        <v>32106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>
        <v>15312</v>
      </c>
      <c r="D27" s="152">
        <v>11600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>
        <v>734909</v>
      </c>
      <c r="E31" s="152">
        <v>677999</v>
      </c>
      <c r="F31" s="152">
        <v>1352795</v>
      </c>
      <c r="G31" s="152">
        <v>1205068</v>
      </c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18682</v>
      </c>
      <c r="E32" s="152">
        <v>61277</v>
      </c>
      <c r="F32" s="152">
        <v>51229</v>
      </c>
      <c r="G32" s="152">
        <v>23195</v>
      </c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>
        <v>6202</v>
      </c>
      <c r="E33" s="152">
        <v>5517</v>
      </c>
      <c r="F33" s="152">
        <v>301783</v>
      </c>
      <c r="G33" s="152">
        <v>3225</v>
      </c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>
        <v>10412</v>
      </c>
      <c r="E34" s="152">
        <v>9392</v>
      </c>
      <c r="F34" s="152">
        <v>5096</v>
      </c>
      <c r="G34" s="152">
        <v>6880</v>
      </c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2824568</v>
      </c>
      <c r="E35" s="152">
        <v>2735259</v>
      </c>
      <c r="F35" s="152">
        <v>250534</v>
      </c>
      <c r="G35" s="152">
        <v>13930</v>
      </c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7297</v>
      </c>
      <c r="E36" s="152">
        <v>1498</v>
      </c>
      <c r="F36" s="152">
        <v>2853</v>
      </c>
      <c r="G36" s="152">
        <v>696</v>
      </c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>
        <v>2868641</v>
      </c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2385307</v>
      </c>
      <c r="D40" s="60">
        <v>0.9</v>
      </c>
      <c r="E40" s="112"/>
    </row>
    <row r="41" spans="2:13" ht="14" x14ac:dyDescent="0.15">
      <c r="B41" s="1" t="s">
        <v>139</v>
      </c>
      <c r="C41" s="59">
        <v>0</v>
      </c>
      <c r="D41" s="60">
        <v>0.8</v>
      </c>
      <c r="E41" s="112"/>
    </row>
    <row r="42" spans="2:13" ht="14" x14ac:dyDescent="0.15">
      <c r="B42" s="3" t="s">
        <v>117</v>
      </c>
      <c r="C42" s="59">
        <v>180994</v>
      </c>
      <c r="D42" s="60">
        <f>D43</f>
        <v>0.6</v>
      </c>
      <c r="E42" s="112"/>
    </row>
    <row r="43" spans="2:13" ht="14" x14ac:dyDescent="0.15">
      <c r="B43" s="3" t="s">
        <v>42</v>
      </c>
      <c r="C43" s="59">
        <v>0</v>
      </c>
      <c r="D43" s="60">
        <v>0.6</v>
      </c>
      <c r="E43" s="112"/>
    </row>
    <row r="44" spans="2:13" ht="14" x14ac:dyDescent="0.15">
      <c r="B44" s="3" t="s">
        <v>44</v>
      </c>
      <c r="C44" s="59">
        <v>253051</v>
      </c>
      <c r="D44" s="60">
        <v>0.5</v>
      </c>
      <c r="E44" s="112"/>
    </row>
    <row r="45" spans="2:13" ht="14" x14ac:dyDescent="0.15">
      <c r="B45" s="1" t="s">
        <v>163</v>
      </c>
      <c r="C45" s="59">
        <v>0</v>
      </c>
      <c r="D45" s="60">
        <f>D42</f>
        <v>0.6</v>
      </c>
      <c r="E45" s="112"/>
    </row>
    <row r="46" spans="2:13" ht="14" x14ac:dyDescent="0.15">
      <c r="B46" s="3" t="s">
        <v>118</v>
      </c>
      <c r="C46" s="59">
        <v>0</v>
      </c>
      <c r="D46" s="60">
        <v>0.1</v>
      </c>
      <c r="E46" s="112"/>
    </row>
    <row r="47" spans="2:13" ht="14" x14ac:dyDescent="0.15">
      <c r="B47" s="3" t="s">
        <v>47</v>
      </c>
      <c r="C47" s="59">
        <v>158110</v>
      </c>
      <c r="D47" s="60">
        <f>D44</f>
        <v>0.5</v>
      </c>
      <c r="E47" s="112"/>
    </row>
    <row r="48" spans="2:13" ht="14" x14ac:dyDescent="0.15">
      <c r="B48" s="1" t="s">
        <v>48</v>
      </c>
      <c r="C48" s="59">
        <v>0</v>
      </c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>
        <v>0</v>
      </c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5912</v>
      </c>
      <c r="D50" s="60">
        <f>D40</f>
        <v>0.9</v>
      </c>
      <c r="E50" s="112"/>
    </row>
    <row r="51" spans="2:5" ht="14" x14ac:dyDescent="0.15">
      <c r="B51" s="35" t="s">
        <v>51</v>
      </c>
      <c r="C51" s="120">
        <v>0</v>
      </c>
      <c r="D51" s="199">
        <f>D62</f>
        <v>0.05</v>
      </c>
      <c r="E51" s="112"/>
    </row>
    <row r="52" spans="2:5" ht="14" x14ac:dyDescent="0.15">
      <c r="B52" s="3" t="s">
        <v>61</v>
      </c>
      <c r="C52" s="59">
        <v>279425</v>
      </c>
      <c r="D52" s="60">
        <f>D41</f>
        <v>0.8</v>
      </c>
      <c r="E52" s="112"/>
    </row>
    <row r="53" spans="2:5" ht="14" x14ac:dyDescent="0.15">
      <c r="B53" s="3" t="s">
        <v>63</v>
      </c>
      <c r="C53" s="59">
        <v>126127</v>
      </c>
      <c r="D53" s="60">
        <f>D43</f>
        <v>0.6</v>
      </c>
      <c r="E53" s="112"/>
    </row>
    <row r="54" spans="2:5" ht="14" x14ac:dyDescent="0.15">
      <c r="B54" s="3" t="s">
        <v>65</v>
      </c>
      <c r="C54" s="59">
        <v>0</v>
      </c>
      <c r="D54" s="60">
        <f>D44</f>
        <v>0.5</v>
      </c>
      <c r="E54" s="112"/>
    </row>
    <row r="55" spans="2:5" ht="14" x14ac:dyDescent="0.15">
      <c r="B55" s="1" t="s">
        <v>164</v>
      </c>
      <c r="C55" s="59">
        <v>0</v>
      </c>
      <c r="D55" s="60">
        <f>D54</f>
        <v>0.5</v>
      </c>
      <c r="E55" s="112"/>
    </row>
    <row r="56" spans="2:5" ht="14" x14ac:dyDescent="0.15">
      <c r="B56" s="3" t="s">
        <v>68</v>
      </c>
      <c r="C56" s="59">
        <v>0</v>
      </c>
      <c r="D56" s="60">
        <v>0.4</v>
      </c>
      <c r="E56" s="112"/>
    </row>
    <row r="57" spans="2:5" ht="14" x14ac:dyDescent="0.15">
      <c r="B57" s="3" t="s">
        <v>70</v>
      </c>
      <c r="C57" s="59">
        <v>1500</v>
      </c>
      <c r="D57" s="60">
        <v>0.1</v>
      </c>
      <c r="E57" s="227" t="s">
        <v>71</v>
      </c>
    </row>
    <row r="58" spans="2:5" ht="14" x14ac:dyDescent="0.15">
      <c r="B58" s="3" t="s">
        <v>72</v>
      </c>
      <c r="C58" s="59">
        <v>0</v>
      </c>
      <c r="D58" s="60">
        <v>0.2</v>
      </c>
      <c r="E58" s="227" t="s">
        <v>71</v>
      </c>
    </row>
    <row r="59" spans="2:5" ht="14" x14ac:dyDescent="0.15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193915</v>
      </c>
      <c r="D60" s="60">
        <f>D57</f>
        <v>0.1</v>
      </c>
      <c r="E60" s="112"/>
    </row>
    <row r="61" spans="2:5" ht="14" x14ac:dyDescent="0.15">
      <c r="B61" s="3" t="s">
        <v>73</v>
      </c>
      <c r="C61" s="59">
        <v>0</v>
      </c>
      <c r="D61" s="60">
        <f>D62</f>
        <v>0.05</v>
      </c>
      <c r="E61" s="112"/>
    </row>
    <row r="62" spans="2:5" ht="14" x14ac:dyDescent="0.15">
      <c r="B62" s="3" t="s">
        <v>74</v>
      </c>
      <c r="C62" s="59">
        <v>9704</v>
      </c>
      <c r="D62" s="60">
        <v>0.05</v>
      </c>
      <c r="E62" s="112"/>
    </row>
    <row r="63" spans="2:5" ht="14" x14ac:dyDescent="0.15">
      <c r="B63" s="3" t="s">
        <v>75</v>
      </c>
      <c r="C63" s="59">
        <v>76124</v>
      </c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>
        <v>13416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611931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>
        <v>20583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30946</v>
      </c>
    </row>
    <row r="76" spans="2:3" ht="15" thickTop="1" x14ac:dyDescent="0.15">
      <c r="B76" s="73" t="s">
        <v>230</v>
      </c>
      <c r="C76" s="59">
        <v>3023302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5" sqref="D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6601.HK</v>
      </c>
      <c r="D3" s="253"/>
      <c r="E3" s="87"/>
      <c r="F3" s="3" t="s">
        <v>1</v>
      </c>
      <c r="G3" s="132">
        <v>1.8999999761581421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朝云集团</v>
      </c>
      <c r="D4" s="255"/>
      <c r="E4" s="87"/>
      <c r="F4" s="3" t="s">
        <v>3</v>
      </c>
      <c r="G4" s="258">
        <f>Inputs!C10</f>
        <v>1333333500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2533.3336182108524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C0007</v>
      </c>
      <c r="E7" s="87"/>
      <c r="F7" s="35" t="s">
        <v>6</v>
      </c>
      <c r="G7" s="133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0.55541924442229906</v>
      </c>
      <c r="F20" s="87" t="s">
        <v>219</v>
      </c>
      <c r="G20" s="175">
        <v>0.25</v>
      </c>
    </row>
    <row r="21" spans="1:8" ht="15.75" customHeight="1" x14ac:dyDescent="0.15">
      <c r="B21" s="137" t="s">
        <v>258</v>
      </c>
      <c r="C21" s="174">
        <f>Fin_Analysis!I77</f>
        <v>0.37949349616392825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6.208277497005729E-4</v>
      </c>
      <c r="F22" s="142" t="s">
        <v>191</v>
      </c>
    </row>
    <row r="23" spans="1:8" ht="15.75" customHeight="1" x14ac:dyDescent="0.15">
      <c r="B23" s="137" t="s">
        <v>257</v>
      </c>
      <c r="C23" s="174">
        <f>Fin_Analysis!I80</f>
        <v>0</v>
      </c>
      <c r="F23" s="140" t="s">
        <v>195</v>
      </c>
      <c r="G23" s="180">
        <f>G3/(Data!C36*Data!C4/Common_Shares*Exchange_Rate)</f>
        <v>0.77877328674111024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3.2200153830735802E-2</v>
      </c>
    </row>
    <row r="25" spans="1:8" ht="15.75" customHeight="1" x14ac:dyDescent="0.15">
      <c r="B25" s="137" t="s">
        <v>199</v>
      </c>
      <c r="C25" s="174">
        <f>Fin_Analysis!I82</f>
        <v>1.8148224946381651E-3</v>
      </c>
      <c r="F25" s="140" t="s">
        <v>179</v>
      </c>
      <c r="G25" s="174">
        <f>Fin_Analysis!I88</f>
        <v>2.0690013574526525</v>
      </c>
    </row>
    <row r="26" spans="1:8" ht="15.75" customHeight="1" x14ac:dyDescent="0.15">
      <c r="B26" s="138" t="s">
        <v>178</v>
      </c>
      <c r="C26" s="174">
        <f>Fin_Analysis!I83</f>
        <v>6.2651609169433978E-2</v>
      </c>
      <c r="F26" s="141" t="s">
        <v>201</v>
      </c>
      <c r="G26" s="181">
        <f>Fin_Analysis!H88*Exchange_Rate/G3</f>
        <v>6.6622161985976591E-2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249</v>
      </c>
      <c r="G28" s="248" t="s">
        <v>250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1.4610710121785617</v>
      </c>
      <c r="D29" s="129">
        <f>IF(Fin_Analysis!C108="Profit",Fin_Analysis!I100,IF(Fin_Analysis!C108="Dividend",Fin_Analysis!I103,Fin_Analysis!I106))</f>
        <v>2.4351183536309362</v>
      </c>
      <c r="E29" s="87"/>
      <c r="F29" s="131">
        <f>IF(Fin_Analysis!C108="Profit",Fin_Analysis!F100,IF(Fin_Analysis!C108="Dividend",Fin_Analysis!F103,Fin_Analysis!F106))</f>
        <v>1.948094682904749</v>
      </c>
      <c r="G29" s="249">
        <f>IF(Fin_Analysis!C108="Profit",Fin_Analysis!E100,IF(Fin_Analysis!C108="Dividend",Fin_Analysis!E103,Fin_Analysis!E106))</f>
        <v>1.8880255995409569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267</v>
      </c>
    </row>
    <row r="34" spans="1:3" ht="15.75" customHeight="1" x14ac:dyDescent="0.15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251</v>
      </c>
      <c r="C36" s="236" t="s">
        <v>268</v>
      </c>
    </row>
    <row r="37" spans="1:3" ht="15.75" customHeight="1" x14ac:dyDescent="0.15">
      <c r="A37"/>
      <c r="B37" s="20" t="s">
        <v>252</v>
      </c>
      <c r="C37" s="236" t="s">
        <v>267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242</v>
      </c>
    </row>
    <row r="40" spans="1:3" ht="15.75" customHeight="1" x14ac:dyDescent="0.15">
      <c r="A40"/>
      <c r="B40" s="1" t="s">
        <v>243</v>
      </c>
      <c r="C40" s="236" t="s">
        <v>241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266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45291</v>
      </c>
      <c r="E3" s="148" t="s">
        <v>208</v>
      </c>
      <c r="F3" s="85">
        <f>G14</f>
        <v>203217</v>
      </c>
      <c r="G3" s="85">
        <f>C14</f>
        <v>102222</v>
      </c>
      <c r="H3" s="85">
        <v>5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8" t="s">
        <v>209</v>
      </c>
      <c r="F4" s="93">
        <f>(G3/F3)^(1/H3)-1</f>
        <v>-0.12840071040119649</v>
      </c>
      <c r="J4" s="87"/>
    </row>
    <row r="5" spans="1:14" ht="15.75" customHeight="1" x14ac:dyDescent="0.15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6">
        <f>IF(Inputs!C19=""," ",Inputs!C19)</f>
        <v>1615585</v>
      </c>
      <c r="D6" s="206">
        <f>IF(Inputs!D19="","",Inputs!D19)</f>
        <v>1446638</v>
      </c>
      <c r="E6" s="206">
        <f>IF(Inputs!E19="","",Inputs!E19)</f>
        <v>1769157</v>
      </c>
      <c r="F6" s="206">
        <f>IF(Inputs!F19="","",Inputs!F19)</f>
        <v>1702154</v>
      </c>
      <c r="G6" s="206">
        <f>IF(Inputs!G19="","",Inputs!G19)</f>
        <v>1383402</v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897327</v>
      </c>
      <c r="D8" s="205">
        <f>IF(Inputs!D20="","",Inputs!D20)</f>
        <v>845264</v>
      </c>
      <c r="E8" s="205">
        <f>IF(Inputs!E20="","",Inputs!E20)</f>
        <v>981731</v>
      </c>
      <c r="F8" s="205">
        <f>IF(Inputs!F20="","",Inputs!F20)</f>
        <v>959572</v>
      </c>
      <c r="G8" s="205">
        <f>IF(Inputs!G20="","",Inputs!G20)</f>
        <v>783542</v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718258</v>
      </c>
      <c r="D9" s="153">
        <f t="shared" si="2"/>
        <v>601374</v>
      </c>
      <c r="E9" s="153">
        <f t="shared" si="2"/>
        <v>787426</v>
      </c>
      <c r="F9" s="153">
        <f t="shared" si="2"/>
        <v>742582</v>
      </c>
      <c r="G9" s="153">
        <f t="shared" si="2"/>
        <v>599860</v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613104</v>
      </c>
      <c r="D10" s="205">
        <f>IF(Inputs!D21="","",Inputs!D21)</f>
        <v>599182</v>
      </c>
      <c r="E10" s="205">
        <f>IF(Inputs!E21="","",Inputs!E21)</f>
        <v>705390</v>
      </c>
      <c r="F10" s="205">
        <f>IF(Inputs!F21="","",Inputs!F21)</f>
        <v>456610</v>
      </c>
      <c r="G10" s="205">
        <f>IF(Inputs!G21="","",Inputs!G21)</f>
        <v>396643</v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253</v>
      </c>
      <c r="C12" s="205">
        <f>IF(Inputs!C24="","",MAX(Inputs!C24,0)/(1-Fin_Analysis!$I$84))</f>
        <v>2932</v>
      </c>
      <c r="D12" s="205">
        <f>IF(Inputs!D24="","",MAX(Inputs!D24,0)/(1-Fin_Analysis!$I$84))</f>
        <v>860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254</v>
      </c>
      <c r="C13" s="242">
        <f t="shared" ref="C13:M13" si="3">IF(C14="","",C14/C6)</f>
        <v>6.3272436919134561E-2</v>
      </c>
      <c r="D13" s="242">
        <f t="shared" si="3"/>
        <v>9.2075557257586215E-4</v>
      </c>
      <c r="E13" s="242">
        <f t="shared" si="3"/>
        <v>4.6370107344910601E-2</v>
      </c>
      <c r="F13" s="242">
        <f t="shared" si="3"/>
        <v>0.16800595010792208</v>
      </c>
      <c r="G13" s="242">
        <f t="shared" si="3"/>
        <v>0.14689656368864581</v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245</v>
      </c>
      <c r="C14" s="243">
        <f>IF(C6="","",C9-C10-MAX(C11,0)-MAX(C12,0))</f>
        <v>102222</v>
      </c>
      <c r="D14" s="243">
        <f t="shared" ref="D14:M14" si="4">IF(D6="","",D9-D10-MAX(D11,0)-MAX(D12,0))</f>
        <v>1332</v>
      </c>
      <c r="E14" s="243">
        <f t="shared" si="4"/>
        <v>82036</v>
      </c>
      <c r="F14" s="243">
        <f t="shared" si="4"/>
        <v>285972</v>
      </c>
      <c r="G14" s="243">
        <f t="shared" si="4"/>
        <v>203217</v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255</v>
      </c>
      <c r="C15" s="245">
        <f>IF(D14="","",IF(ABS(C14+D14)=ABS(C14)+ABS(D14),IF(C14&lt;0,-1,1)*(C14-D14)/D14,"Turn"))</f>
        <v>75.743243243243242</v>
      </c>
      <c r="D15" s="245">
        <f t="shared" ref="D15:M15" si="5">IF(E14="","",IF(ABS(D14+E14)=ABS(D14)+ABS(E14),IF(D14&lt;0,-1,1)*(D14-E14)/E14,"Turn"))</f>
        <v>-0.98376322590082399</v>
      </c>
      <c r="E15" s="245">
        <f t="shared" si="5"/>
        <v>-0.71313275425566136</v>
      </c>
      <c r="F15" s="245">
        <f t="shared" si="5"/>
        <v>0.40722478926467764</v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-169280</v>
      </c>
      <c r="D16" s="205">
        <f>IF(Inputs!D25="","",Inputs!D25)</f>
        <v>-50846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1003</v>
      </c>
      <c r="D17" s="205">
        <f>IF(Inputs!D23="","",Inputs!D23)</f>
        <v>863</v>
      </c>
      <c r="E17" s="205">
        <f>IF(Inputs!E23="","",Inputs!E23)</f>
        <v>1613</v>
      </c>
      <c r="F17" s="205">
        <f>IF(Inputs!F23="","",Inputs!F23)</f>
        <v>2645</v>
      </c>
      <c r="G17" s="205">
        <f>IF(Inputs!G23="","",Inputs!G23)</f>
        <v>299</v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2.2266856897037297E-2</v>
      </c>
      <c r="D18" s="154">
        <f t="shared" si="6"/>
        <v>2.2193527337177648E-2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35974</v>
      </c>
      <c r="D19" s="205">
        <f>IF(Inputs!D26="","",Inputs!D26)</f>
        <v>32106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247</v>
      </c>
      <c r="C20" s="154">
        <f t="shared" ref="C20:M20" si="7">IF(C6="","",MAX(C21,0)/C6)</f>
        <v>9.4776814590380575E-3</v>
      </c>
      <c r="D20" s="154">
        <f t="shared" si="7"/>
        <v>8.0185920734834829E-3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15312</v>
      </c>
      <c r="D21" s="205">
        <f>IF(Inputs!D27="","",Inputs!D27)</f>
        <v>11600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80557</v>
      </c>
      <c r="D22" s="163">
        <f t="shared" ref="D22:M22" si="8">IF(D6="","",D14-MAX(D16,0)-MAX(D17,0)-ABS(MAX(D21,0)-MAX(D19,0)))</f>
        <v>-20037</v>
      </c>
      <c r="E22" s="163">
        <f t="shared" si="8"/>
        <v>80423</v>
      </c>
      <c r="F22" s="163">
        <f t="shared" si="8"/>
        <v>283327</v>
      </c>
      <c r="G22" s="163">
        <f t="shared" si="8"/>
        <v>202918</v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3.7396825298576054E-2</v>
      </c>
      <c r="D23" s="155">
        <f t="shared" si="9"/>
        <v>-1.0388051468300985E-2</v>
      </c>
      <c r="E23" s="155">
        <f t="shared" si="9"/>
        <v>3.4093780258055109E-2</v>
      </c>
      <c r="F23" s="155">
        <f t="shared" si="9"/>
        <v>0.12483902749104958</v>
      </c>
      <c r="G23" s="155">
        <f t="shared" si="9"/>
        <v>0.11001032237917828</v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-0.71614777271491947</v>
      </c>
      <c r="F25" s="246">
        <f t="shared" si="10"/>
        <v>0.3962635153116037</v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2983374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180994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158110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611931</v>
      </c>
      <c r="D31" s="205">
        <f>IF(Inputs!D31="","",Inputs!D31)</f>
        <v>734909</v>
      </c>
      <c r="E31" s="205">
        <f>IF(Inputs!E31="","",Inputs!E31)</f>
        <v>677999</v>
      </c>
      <c r="F31" s="205">
        <f>IF(Inputs!F31="","",Inputs!F31)</f>
        <v>1352795</v>
      </c>
      <c r="G31" s="205">
        <f>IF(Inputs!G31="","",Inputs!G31)</f>
        <v>1205068</v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30946</v>
      </c>
      <c r="D32" s="205">
        <f>IF(Inputs!D32="","",Inputs!D32)</f>
        <v>18682</v>
      </c>
      <c r="E32" s="205">
        <f>IF(Inputs!E32="","",Inputs!E32)</f>
        <v>61277</v>
      </c>
      <c r="F32" s="205">
        <f>IF(Inputs!F32="","",Inputs!F32)</f>
        <v>51229</v>
      </c>
      <c r="G32" s="205">
        <f>IF(Inputs!G32="","",Inputs!G32)</f>
        <v>23195</v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13416</v>
      </c>
      <c r="D33" s="205">
        <f>IF(Inputs!D33="","",Inputs!D33)</f>
        <v>6202</v>
      </c>
      <c r="E33" s="205">
        <f>IF(Inputs!E33="","",Inputs!E33)</f>
        <v>5517</v>
      </c>
      <c r="F33" s="205">
        <f>IF(Inputs!F33="","",Inputs!F33)</f>
        <v>301783</v>
      </c>
      <c r="G33" s="205">
        <f>IF(Inputs!G33="","",Inputs!G33)</f>
        <v>3225</v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20583</v>
      </c>
      <c r="D34" s="205">
        <f>IF(Inputs!D34="","",Inputs!D34)</f>
        <v>10412</v>
      </c>
      <c r="E34" s="205">
        <f>IF(Inputs!E34="","",Inputs!E34)</f>
        <v>9392</v>
      </c>
      <c r="F34" s="205">
        <f>IF(Inputs!F34="","",Inputs!F34)</f>
        <v>5096</v>
      </c>
      <c r="G34" s="205">
        <f>IF(Inputs!G34="","",Inputs!G34)</f>
        <v>6880</v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3027292</v>
      </c>
      <c r="D36" s="205">
        <f>IF(Inputs!D35="","",Inputs!D35)</f>
        <v>2824568</v>
      </c>
      <c r="E36" s="205">
        <f>IF(Inputs!E35="","",Inputs!E35)</f>
        <v>2735259</v>
      </c>
      <c r="F36" s="205">
        <f>IF(Inputs!F35="","",Inputs!F35)</f>
        <v>250534</v>
      </c>
      <c r="G36" s="205">
        <f>IF(Inputs!G35="","",Inputs!G35)</f>
        <v>13930</v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3990</v>
      </c>
      <c r="D37" s="205">
        <f>IF(Inputs!D36="","",Inputs!D36)</f>
        <v>7297</v>
      </c>
      <c r="E37" s="205">
        <f>IF(Inputs!E36="","",Inputs!E36)</f>
        <v>1498</v>
      </c>
      <c r="F37" s="205">
        <f>IF(Inputs!F36="","",Inputs!F36)</f>
        <v>2853</v>
      </c>
      <c r="G37" s="205">
        <f>IF(Inputs!G36="","",Inputs!G36)</f>
        <v>696</v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3045410</v>
      </c>
      <c r="D38" s="205">
        <f>IF(Inputs!D37="","",Inputs!D37)</f>
        <v>2868641</v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0.16361829121309177</v>
      </c>
      <c r="D40" s="157">
        <f>IF(D6="","",D14/MAX(D39,0))</f>
        <v>1.8773308076750696E-3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0.55541924442229906</v>
      </c>
      <c r="D42" s="158">
        <f t="shared" si="34"/>
        <v>0.5842954491724951</v>
      </c>
      <c r="E42" s="158">
        <f t="shared" si="34"/>
        <v>0.55491457230760188</v>
      </c>
      <c r="F42" s="158">
        <f t="shared" si="34"/>
        <v>0.56373982612619067</v>
      </c>
      <c r="G42" s="158">
        <f t="shared" si="34"/>
        <v>0.56638778894348862</v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246</v>
      </c>
      <c r="C43" s="155">
        <f t="shared" ref="C43:M43" si="35">IF(C6="","",(C10+MAX(C11,0))/C6)</f>
        <v>0.37949349616392825</v>
      </c>
      <c r="D43" s="155">
        <f t="shared" si="35"/>
        <v>0.41418931342879145</v>
      </c>
      <c r="E43" s="155">
        <f t="shared" si="35"/>
        <v>0.39871532034748752</v>
      </c>
      <c r="F43" s="155">
        <f t="shared" si="35"/>
        <v>0.2682542237658872</v>
      </c>
      <c r="G43" s="155">
        <f t="shared" si="35"/>
        <v>0.28671564736786559</v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6.208277497005729E-4</v>
      </c>
      <c r="D45" s="155">
        <f t="shared" si="37"/>
        <v>5.9655559994967644E-4</v>
      </c>
      <c r="E45" s="155">
        <f t="shared" si="37"/>
        <v>9.1173366750378854E-4</v>
      </c>
      <c r="F45" s="155">
        <f t="shared" si="37"/>
        <v>1.5539134531893119E-3</v>
      </c>
      <c r="G45" s="155">
        <f t="shared" si="37"/>
        <v>2.1613384974143452E-4</v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1.8148224946381651E-3</v>
      </c>
      <c r="D46" s="155">
        <f t="shared" ref="D46:M46" si="38">IF(D6="","",MAX(D12,0)/D6)</f>
        <v>5.9448182613756862E-4</v>
      </c>
      <c r="E46" s="155">
        <f t="shared" si="38"/>
        <v>0</v>
      </c>
      <c r="F46" s="155">
        <f t="shared" si="38"/>
        <v>0</v>
      </c>
      <c r="G46" s="155">
        <f t="shared" si="38"/>
        <v>0</v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248</v>
      </c>
      <c r="C47" s="155">
        <f>IF(C6="","",ABS(MAX(C21,0)-MAX(C19,0))/C6)</f>
        <v>1.2789175437999239E-2</v>
      </c>
      <c r="D47" s="155">
        <f t="shared" ref="D47:M47" si="39">IF(D6="","",ABS(MAX(D21,0)-MAX(D19,0))/D6)</f>
        <v>1.4174935263694165E-2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4.9862433731434744E-2</v>
      </c>
      <c r="D48" s="155">
        <f t="shared" si="40"/>
        <v>-1.385073529106798E-2</v>
      </c>
      <c r="E48" s="155">
        <f t="shared" si="40"/>
        <v>4.5458373677406808E-2</v>
      </c>
      <c r="F48" s="155">
        <f t="shared" si="40"/>
        <v>0.16645203665473277</v>
      </c>
      <c r="G48" s="155">
        <f t="shared" si="40"/>
        <v>0.14668042983890439</v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0.11203000770618693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9.7865479067953717E-2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0.1751627786077426</v>
      </c>
      <c r="D53" s="158">
        <f t="shared" ref="D53:M53" si="43">IF(D36="","",(D27-D36)/D27)</f>
        <v>0.21060858391144721</v>
      </c>
      <c r="E53" s="158">
        <f t="shared" si="43"/>
        <v>0.21276976631405353</v>
      </c>
      <c r="F53" s="158">
        <f t="shared" si="43"/>
        <v>0.84857949978181479</v>
      </c>
      <c r="G53" s="158">
        <f t="shared" si="43"/>
        <v>0.98878596160178012</v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2.369393217447572</v>
      </c>
      <c r="D54" s="159">
        <f t="shared" si="44"/>
        <v>-1.2060310581437341</v>
      </c>
      <c r="E54" s="159">
        <f t="shared" si="44"/>
        <v>5.3942585015762292</v>
      </c>
      <c r="F54" s="159">
        <f t="shared" si="44"/>
        <v>0.92325313885928983</v>
      </c>
      <c r="G54" s="159">
        <f t="shared" si="44"/>
        <v>20.080950024740229</v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1.2450811226833175E-2</v>
      </c>
      <c r="D55" s="155">
        <f t="shared" si="45"/>
        <v>-4.3070319908169882E-2</v>
      </c>
      <c r="E55" s="155">
        <f t="shared" si="45"/>
        <v>2.0056451512626985E-2</v>
      </c>
      <c r="F55" s="155">
        <f t="shared" si="45"/>
        <v>9.3355027935918562E-3</v>
      </c>
      <c r="G55" s="155">
        <f t="shared" si="45"/>
        <v>1.4735016114883846E-3</v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4.8753437887604978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54" zoomScaleNormal="100" workbookViewId="0">
      <selection activeCell="E76" sqref="E7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3023302</v>
      </c>
      <c r="K3" s="24"/>
    </row>
    <row r="4" spans="1:11" ht="15" customHeight="1" x14ac:dyDescent="0.15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2131502.4392510056</v>
      </c>
      <c r="E6" s="56">
        <f>1-D6/D3</f>
        <v>0.29590457767172584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1.7178058215567691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2385307</v>
      </c>
      <c r="D11" s="204">
        <f>Inputs!D40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13416</v>
      </c>
      <c r="J12" s="87"/>
      <c r="K12" s="24"/>
    </row>
    <row r="13" spans="1:11" ht="14" x14ac:dyDescent="0.15">
      <c r="B13" s="3" t="s">
        <v>117</v>
      </c>
      <c r="C13" s="40">
        <f>Inputs!C42</f>
        <v>180994</v>
      </c>
      <c r="D13" s="204">
        <f>Inputs!D42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253051</v>
      </c>
      <c r="D15" s="204">
        <f>Inputs!D44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158110</v>
      </c>
      <c r="D18" s="204">
        <f>Inputs!D47</f>
        <v>0.5</v>
      </c>
      <c r="E18" s="88">
        <f t="shared" si="0"/>
        <v>79055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5912</v>
      </c>
      <c r="D21" s="204">
        <f>Inputs!D50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15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15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12">
        <f>Inputs!C70</f>
        <v>611931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279425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126127</v>
      </c>
      <c r="D31" s="204">
        <f>Inputs!D53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4" x14ac:dyDescent="0.15">
      <c r="B35" s="3" t="s">
        <v>70</v>
      </c>
      <c r="C35" s="40">
        <f>Inputs!C57</f>
        <v>1500</v>
      </c>
      <c r="D35" s="204">
        <f>Inputs!D57</f>
        <v>0.1</v>
      </c>
      <c r="E35" s="88">
        <f t="shared" si="1"/>
        <v>150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193915</v>
      </c>
      <c r="D38" s="204">
        <f>Inputs!D60</f>
        <v>0.1</v>
      </c>
      <c r="E38" s="88">
        <f t="shared" si="1"/>
        <v>19391.5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9704</v>
      </c>
      <c r="D40" s="204">
        <f>Inputs!D62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76124</v>
      </c>
      <c r="D41" s="204">
        <f>Inputs!D63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3">
        <f>Inputs!C75</f>
        <v>30946</v>
      </c>
      <c r="J48" s="8"/>
    </row>
    <row r="49" spans="2:11" ht="15" customHeight="1" thickTop="1" x14ac:dyDescent="0.15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33999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33999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608878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1615585</v>
      </c>
      <c r="D74" s="215"/>
      <c r="E74" s="202">
        <f>H74</f>
        <v>1615585</v>
      </c>
      <c r="F74" s="215"/>
      <c r="H74" s="202">
        <f>C74</f>
        <v>1615585</v>
      </c>
      <c r="I74" s="215"/>
      <c r="K74" s="24"/>
    </row>
    <row r="75" spans="1:11" ht="15" customHeight="1" x14ac:dyDescent="0.15">
      <c r="B75" s="104" t="s">
        <v>106</v>
      </c>
      <c r="C75" s="77">
        <f>Data!C8</f>
        <v>897327</v>
      </c>
      <c r="D75" s="161">
        <f>C75/$C$74</f>
        <v>0.55541924442229906</v>
      </c>
      <c r="E75" s="202">
        <f>E74*D75</f>
        <v>897327</v>
      </c>
      <c r="F75" s="162">
        <f>E75/E74</f>
        <v>0.55541924442229906</v>
      </c>
      <c r="H75" s="202">
        <f>H74*D75</f>
        <v>897327</v>
      </c>
      <c r="I75" s="162">
        <f>H75/$H$74</f>
        <v>0.55541924442229906</v>
      </c>
      <c r="K75" s="24"/>
    </row>
    <row r="76" spans="1:11" ht="15" customHeight="1" x14ac:dyDescent="0.15">
      <c r="B76" s="35" t="s">
        <v>96</v>
      </c>
      <c r="C76" s="163">
        <f>C74-C75</f>
        <v>718258</v>
      </c>
      <c r="D76" s="216"/>
      <c r="E76" s="164">
        <f>E74-E75</f>
        <v>718258</v>
      </c>
      <c r="F76" s="216"/>
      <c r="H76" s="164">
        <f>H74-H75</f>
        <v>718258</v>
      </c>
      <c r="I76" s="216"/>
      <c r="K76" s="24"/>
    </row>
    <row r="77" spans="1:11" ht="15" customHeight="1" x14ac:dyDescent="0.15">
      <c r="B77" s="104" t="s">
        <v>260</v>
      </c>
      <c r="C77" s="77">
        <f>Data!C10+MAX(Data!C11,0)</f>
        <v>613104</v>
      </c>
      <c r="D77" s="161">
        <f>C77/$C$74</f>
        <v>0.37949349616392825</v>
      </c>
      <c r="E77" s="202">
        <f>E74*I77</f>
        <v>613104</v>
      </c>
      <c r="F77" s="162">
        <f>E77/E74</f>
        <v>0.37949349616392825</v>
      </c>
      <c r="H77" s="202">
        <f>H74*D77</f>
        <v>613104</v>
      </c>
      <c r="I77" s="162">
        <f>H77/$H$74</f>
        <v>0.37949349616392825</v>
      </c>
      <c r="K77" s="24"/>
    </row>
    <row r="78" spans="1:11" ht="15" customHeight="1" x14ac:dyDescent="0.15">
      <c r="B78" s="35" t="s">
        <v>244</v>
      </c>
      <c r="C78" s="163">
        <f>C76-C77</f>
        <v>105154</v>
      </c>
      <c r="D78" s="216"/>
      <c r="E78" s="164">
        <f>E76-E77</f>
        <v>105154</v>
      </c>
      <c r="F78" s="216"/>
      <c r="H78" s="164">
        <f>H76-H77</f>
        <v>105154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1003</v>
      </c>
      <c r="D79" s="161">
        <f>C79/$C$74</f>
        <v>6.208277497005729E-4</v>
      </c>
      <c r="E79" s="183">
        <f>E74*F79</f>
        <v>1003.0000000000001</v>
      </c>
      <c r="F79" s="162">
        <f t="shared" ref="F79:F84" si="3">I79</f>
        <v>6.208277497005729E-4</v>
      </c>
      <c r="H79" s="202">
        <f>H74*D79</f>
        <v>1003.0000000000001</v>
      </c>
      <c r="I79" s="162">
        <f>H79/$H$74</f>
        <v>6.208277497005729E-4</v>
      </c>
      <c r="K79" s="24"/>
    </row>
    <row r="80" spans="1:11" ht="15" customHeight="1" x14ac:dyDescent="0.15">
      <c r="B80" s="28" t="s">
        <v>259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2932</v>
      </c>
      <c r="D82" s="161">
        <f>C82/$C$74</f>
        <v>1.8148224946381651E-3</v>
      </c>
      <c r="E82" s="183">
        <f>E74*F82</f>
        <v>2932</v>
      </c>
      <c r="F82" s="162">
        <f t="shared" si="3"/>
        <v>1.8148224946381651E-3</v>
      </c>
      <c r="H82" s="202">
        <f>H74*D82</f>
        <v>2932</v>
      </c>
      <c r="I82" s="162">
        <f>H82/$H$74</f>
        <v>1.8148224946381651E-3</v>
      </c>
      <c r="K82" s="24"/>
    </row>
    <row r="83" spans="1:11" ht="15" customHeight="1" thickBot="1" x14ac:dyDescent="0.2">
      <c r="B83" s="105" t="s">
        <v>128</v>
      </c>
      <c r="C83" s="165">
        <f>C78-C79-C80-C81-C82</f>
        <v>101219</v>
      </c>
      <c r="D83" s="166">
        <f>C83/$C$74</f>
        <v>6.2651609169433978E-2</v>
      </c>
      <c r="E83" s="167">
        <f>E78-E79-E80-E81-E82</f>
        <v>101219</v>
      </c>
      <c r="F83" s="166">
        <f>E83/E74</f>
        <v>6.2651609169433978E-2</v>
      </c>
      <c r="H83" s="167">
        <f>H78-H79-H80-H81-H82</f>
        <v>101219</v>
      </c>
      <c r="I83" s="166">
        <f>H83/$H$74</f>
        <v>6.2651609169433978E-2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75914.25</v>
      </c>
      <c r="D85" s="168">
        <f>C85/$C$74</f>
        <v>4.6988706877075487E-2</v>
      </c>
      <c r="E85" s="169">
        <f>E83*(1-F84)</f>
        <v>75914.25</v>
      </c>
      <c r="F85" s="168">
        <f>E85/E74</f>
        <v>4.6988706877075487E-2</v>
      </c>
      <c r="H85" s="169">
        <f>H83*(1-I84)</f>
        <v>75914.25</v>
      </c>
      <c r="I85" s="168">
        <f>H85/$H$74</f>
        <v>4.6988706877075487E-2</v>
      </c>
      <c r="K85" s="24"/>
    </row>
    <row r="86" spans="1:11" ht="15" customHeight="1" x14ac:dyDescent="0.15">
      <c r="B86" s="87" t="s">
        <v>165</v>
      </c>
      <c r="C86" s="170">
        <f>C85*Data!C4/Common_Shares</f>
        <v>5.6935680383039949E-2</v>
      </c>
      <c r="D86" s="215"/>
      <c r="E86" s="171">
        <f>E85*Data!C4/Common_Shares</f>
        <v>5.6935680383039949E-2</v>
      </c>
      <c r="F86" s="215"/>
      <c r="H86" s="171">
        <f>H85*Data!C4/Common_Shares</f>
        <v>5.6935680383039949E-2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3.2200153830735802E-2</v>
      </c>
      <c r="D87" s="215"/>
      <c r="E87" s="233">
        <f>E86*Exchange_Rate/Dashboard!G3</f>
        <v>3.2200153830735802E-2</v>
      </c>
      <c r="F87" s="215"/>
      <c r="H87" s="233">
        <f>H86*Exchange_Rate/Dashboard!G3</f>
        <v>3.2200153830735802E-2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0.1178</v>
      </c>
      <c r="D88" s="168">
        <f>C88/C86</f>
        <v>2.0690013574526525</v>
      </c>
      <c r="E88" s="201">
        <f>H88</f>
        <v>0.1178</v>
      </c>
      <c r="F88" s="168">
        <f>E88/E86</f>
        <v>2.0690013574526525</v>
      </c>
      <c r="H88" s="173">
        <f>Inputs!F6</f>
        <v>0.1178</v>
      </c>
      <c r="I88" s="168">
        <f>H88/H86</f>
        <v>2.0690013574526525</v>
      </c>
      <c r="K88" s="24"/>
    </row>
    <row r="89" spans="1:11" ht="15" customHeight="1" x14ac:dyDescent="0.15">
      <c r="B89" s="87" t="s">
        <v>231</v>
      </c>
      <c r="C89" s="162">
        <f>C88*Exchange_Rate/Dashboard!G3</f>
        <v>6.6622161985976591E-2</v>
      </c>
      <c r="D89" s="215"/>
      <c r="E89" s="162">
        <f>E88*Exchange_Rate/Dashboard!G3</f>
        <v>6.6622161985976591E-2</v>
      </c>
      <c r="F89" s="215"/>
      <c r="H89" s="162">
        <f>H88*Exchange_Rate/Dashboard!G3</f>
        <v>6.6622161985976591E-2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0.92655587836790587</v>
      </c>
      <c r="H93" s="87" t="s">
        <v>217</v>
      </c>
      <c r="I93" s="145">
        <f>FV(H87,D93,0,-(H86/C93))</f>
        <v>0.92655587836790587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2.2587377461384861</v>
      </c>
      <c r="H94" s="87" t="s">
        <v>218</v>
      </c>
      <c r="I94" s="145">
        <f>FV(H89,D93,0,-(H88/C93))</f>
        <v>2.2587377461384861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249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937699.11676784686</v>
      </c>
      <c r="D97" s="219"/>
      <c r="E97" s="123">
        <f>PV(C93,D93,0,-F93)*Exchange_Rate</f>
        <v>0.7032742496666039</v>
      </c>
      <c r="F97" s="219"/>
      <c r="H97" s="123">
        <f>PV(C93,D93,0,-I93)*Exchange_Rate</f>
        <v>0.7032742496666039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4287.4584352970123</v>
      </c>
      <c r="D98" s="219"/>
      <c r="E98" s="219"/>
      <c r="F98" s="219"/>
      <c r="H98" s="123">
        <f>C98*Data!$C$4/Common_Shares</f>
        <v>3.2155934245235813E-3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2135789.8976863027</v>
      </c>
      <c r="D99" s="220"/>
      <c r="E99" s="147">
        <f>IF(H99&gt;0,H99*0.85,H99*1.15)</f>
        <v>1.3615658895792817</v>
      </c>
      <c r="F99" s="220"/>
      <c r="H99" s="147">
        <f>C99*Data!$C$4/Common_Shares</f>
        <v>1.6018422230344491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3069201.5560188526</v>
      </c>
      <c r="D100" s="109">
        <f>F100*(1-C94)</f>
        <v>1.6363220344117095</v>
      </c>
      <c r="E100" s="109">
        <f>MAX(E97-H98+E99,0)</f>
        <v>2.061624545821362</v>
      </c>
      <c r="F100" s="109">
        <f>(E100+H100)/2</f>
        <v>2.181762712548946</v>
      </c>
      <c r="H100" s="109">
        <f>MAX(C100*Data!$C$4/Common_Shares,0)</f>
        <v>2.3019008792765296</v>
      </c>
      <c r="I100" s="109">
        <f>F100*1.25</f>
        <v>2.7272033906861823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249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2285902.4900851781</v>
      </c>
      <c r="D103" s="109">
        <f>F103*(1-C94)</f>
        <v>1.2858199899454139</v>
      </c>
      <c r="E103" s="123">
        <f>PV(C93,D93,0,-F94)*Exchange_Rate</f>
        <v>1.7144266532605519</v>
      </c>
      <c r="F103" s="109">
        <f>(E103+H103)/2</f>
        <v>1.7144266532605519</v>
      </c>
      <c r="H103" s="123">
        <f>PV(C93,D93,0,-I94)*Exchange_Rate</f>
        <v>1.7144266532605519</v>
      </c>
      <c r="I103" s="109">
        <f>F103*1.25</f>
        <v>2.1430333165756901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249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2517367.7807255425</v>
      </c>
      <c r="D106" s="109">
        <f>(D100+D103)/2</f>
        <v>1.4610710121785617</v>
      </c>
      <c r="E106" s="123">
        <f>(E100+E103)/2</f>
        <v>1.8880255995409569</v>
      </c>
      <c r="F106" s="109">
        <f>(F100+F103)/2</f>
        <v>1.948094682904749</v>
      </c>
      <c r="H106" s="123">
        <f>(H100+H103)/2</f>
        <v>2.0081637662685408</v>
      </c>
      <c r="I106" s="123">
        <f>(I100+I103)/2</f>
        <v>2.4351183536309362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256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