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00760B1F-2EBB-8241-87FB-3328B4037BFF}" xr6:coauthVersionLast="47" xr6:coauthVersionMax="47" xr10:uidLastSave="{00000000-0000-0000-0000-000000000000}"/>
  <bookViews>
    <workbookView xWindow="1480" yWindow="1480" windowWidth="12700" windowHeight="764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2" i="3" l="1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C87" i="3" l="1"/>
  <c r="E87" i="3" s="1"/>
  <c r="D101" i="3" s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19" i="2"/>
  <c r="D20" i="2" s="1"/>
  <c r="G13" i="2"/>
  <c r="G21" i="2" s="1"/>
  <c r="G19" i="2"/>
  <c r="C20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D40" i="2" s="1"/>
  <c r="E24" i="2"/>
  <c r="D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E77" i="3" l="1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<sst xmlns="http://schemas.openxmlformats.org/spreadsheetml/2006/main" count="261" uniqueCount="238">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</sst>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75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0"/>
      <c r="C1" s="90"/>
      <c r="D1" s="90"/>
      <c r="E1" s="90"/>
      <c r="F1" s="90"/>
      <c r="G1" s="90"/>
      <c r="H1" s="90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90"/>
      <c r="E2" s="7"/>
      <c r="F2" s="7"/>
      <c r="G2" s="89"/>
      <c r="H2" s="89"/>
    </row>
    <row r="3" spans="1:10" ht="15.75" customHeight="1" x14ac:dyDescent="0.15">
      <c r="B3" s="3" t="s">
        <v>216</v>
      </c>
      <c r="C3" s="211" t="s">
        <v>220</v>
      </c>
      <c r="D3" s="212"/>
      <c r="E3" s="90"/>
      <c r="F3" s="3" t="s">
        <v>1</v>
      </c>
      <c r="G3" s="142">
        <v>15.260000228881836</v>
      </c>
      <c r="H3" s="144" t="s">
        <v>2</v>
      </c>
    </row>
    <row r="4" spans="1:10" ht="15.75" customHeight="1" x14ac:dyDescent="0.25">
      <c r="B4" s="35" t="s">
        <v>217</v>
      </c>
      <c r="C4" s="213" t="s">
        <v>219</v>
      </c>
      <c r="D4" s="214"/>
      <c r="E4" s="90"/>
      <c r="F4" s="3" t="s">
        <v>3</v>
      </c>
      <c r="G4" s="217">
        <v>587107850</v>
      </c>
      <c r="H4" s="217"/>
      <c r="I4" s="39"/>
    </row>
    <row r="5" spans="1:10" ht="15.75" customHeight="1" x14ac:dyDescent="0.15">
      <c r="B5" s="3" t="s">
        <v>178</v>
      </c>
      <c r="C5" s="215">
        <v>45593</v>
      </c>
      <c r="D5" s="216"/>
      <c r="E5" s="34"/>
      <c r="F5" s="35" t="s">
        <v>102</v>
      </c>
      <c r="G5" s="209">
        <f>G3*G4/1000000</f>
        <v>8959.2659253783222</v>
      </c>
      <c r="H5" s="209"/>
      <c r="I5" s="38"/>
      <c r="J5" s="28"/>
    </row>
    <row r="6" spans="1:10" ht="15.75" customHeight="1" x14ac:dyDescent="0.15">
      <c r="B6" s="90" t="s">
        <v>4</v>
      </c>
      <c r="C6" s="155">
        <v>8</v>
      </c>
      <c r="D6" s="15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10" t="s">
        <v>2</v>
      </c>
      <c r="H6" s="210"/>
      <c r="I6" s="38"/>
    </row>
    <row r="7" spans="1:10" ht="15.75" customHeight="1" x14ac:dyDescent="0.15">
      <c r="B7" s="89" t="s">
        <v>214</v>
      </c>
      <c r="C7" s="154" t="s">
        <v>46</v>
      </c>
      <c r="D7" s="158" t="s">
        <v>221</v>
      </c>
      <c r="E7" s="90"/>
      <c r="F7" s="35" t="s">
        <v>6</v>
      </c>
      <c r="G7" s="143">
        <v>1</v>
      </c>
      <c r="H7" s="74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49" t="s">
        <v>212</v>
      </c>
      <c r="F9" s="153" t="s">
        <v>206</v>
      </c>
    </row>
    <row r="10" spans="1:10" ht="15.75" customHeight="1" x14ac:dyDescent="0.15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2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15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15"/>
    <row r="14" spans="1:10" ht="15.75" customHeight="1" x14ac:dyDescent="0.15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15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2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15">
      <c r="B17" s="90" t="s">
        <v>201</v>
      </c>
      <c r="C17" s="205">
        <v>8.8000000000000009E-2</v>
      </c>
      <c r="D17" s="206"/>
    </row>
    <row r="18" spans="1:8" ht="15.75" customHeight="1" x14ac:dyDescent="0.15"/>
    <row r="19" spans="1:8" ht="15.75" customHeight="1" x14ac:dyDescent="0.15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15">
      <c r="B20" s="147" t="s">
        <v>185</v>
      </c>
      <c r="C20" s="201">
        <f>Fin_Analysis!F75</f>
        <v>0.72762956087193742</v>
      </c>
      <c r="F20" s="90"/>
      <c r="G20" s="29"/>
    </row>
    <row r="21" spans="1:8" ht="15.75" customHeight="1" x14ac:dyDescent="0.15">
      <c r="B21" s="147" t="s">
        <v>186</v>
      </c>
      <c r="C21" s="201">
        <f>Fin_Analysis!F77</f>
        <v>0.12012374818624762</v>
      </c>
      <c r="F21" s="90"/>
      <c r="G21" s="29"/>
    </row>
    <row r="22" spans="1:8" ht="15.75" customHeight="1" x14ac:dyDescent="0.15">
      <c r="B22" s="147" t="s">
        <v>187</v>
      </c>
      <c r="C22" s="201">
        <f>Fin_Analysis!F79</f>
        <v>3.8885650375487034E-3</v>
      </c>
      <c r="F22" s="152" t="s">
        <v>205</v>
      </c>
    </row>
    <row r="23" spans="1:8" ht="15.75" customHeight="1" x14ac:dyDescent="0.15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0.69646587102745394</v>
      </c>
    </row>
    <row r="24" spans="1:8" ht="15.75" customHeight="1" x14ac:dyDescent="0.15">
      <c r="B24" s="147" t="s">
        <v>189</v>
      </c>
      <c r="C24" s="201">
        <f>Fin_Analysis!F81</f>
        <v>4.0883763120383568E-2</v>
      </c>
      <c r="F24" s="150" t="s">
        <v>194</v>
      </c>
      <c r="G24" s="208">
        <f>(Fin_Analysis!E86*G7)/G3</f>
        <v>9.9397301343345928E-2</v>
      </c>
    </row>
    <row r="25" spans="1:8" ht="15.75" customHeight="1" x14ac:dyDescent="0.15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0.8966227930318843</v>
      </c>
    </row>
    <row r="26" spans="1:8" ht="15.75" customHeight="1" x14ac:dyDescent="0.15">
      <c r="B26" s="148" t="s">
        <v>191</v>
      </c>
      <c r="C26" s="201">
        <f>Fin_Analysis!F83</f>
        <v>7.7474362783882672E-2</v>
      </c>
      <c r="F26" s="151" t="s">
        <v>215</v>
      </c>
      <c r="G26" s="208">
        <f>Fin_Analysis!E87*Exchange_Rate/G3</f>
        <v>8.9121885950302682E-2</v>
      </c>
    </row>
    <row r="27" spans="1:8" ht="15.75" customHeight="1" x14ac:dyDescent="0.15"/>
    <row r="28" spans="1:8" ht="15.75" customHeight="1" x14ac:dyDescent="0.15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15">
      <c r="B29" s="90" t="s">
        <v>184</v>
      </c>
      <c r="C29" s="140">
        <f>IF(Fin_Analysis!C106="Profit",Fin_Analysis!E98,IF(Fin_Analysis!C106="Dividend",Fin_Analysis!E101,Fin_Analysis!E104))</f>
        <v>15.937499999999996</v>
      </c>
      <c r="D29" s="139">
        <f>IF(Fin_Analysis!C106="Profit",Fin_Analysis!F98,IF(Fin_Analysis!C106="Dividend",Fin_Analysis!F101,Fin_Analysis!F104))</f>
        <v>26.562499999999996</v>
      </c>
      <c r="E29" s="90"/>
      <c r="F29" s="141">
        <f>IF(Fin_Analysis!C106="Profit",Fin_Analysis!D98,IF(Fin_Analysis!C106="Dividend",Fin_Analysis!D101,Fin_Analysis!D104))</f>
        <v>21.249999999999996</v>
      </c>
      <c r="H29" s="90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G6" sqref="G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66" t="s">
        <v>230</v>
      </c>
      <c r="F2" s="127" t="s">
        <v>233</v>
      </c>
      <c r="G2" s="166" t="s">
        <v>234</v>
      </c>
      <c r="H2" s="165" t="s">
        <v>235</v>
      </c>
      <c r="I2" s="7"/>
      <c r="J2" s="90"/>
      <c r="K2" s="7"/>
      <c r="L2" s="7"/>
      <c r="M2" s="7"/>
    </row>
    <row r="3" spans="1:14" ht="15.75" customHeight="1" x14ac:dyDescent="0.15">
      <c r="A3" s="4"/>
      <c r="B3" s="108" t="s">
        <v>10</v>
      </c>
      <c r="C3" s="92">
        <v>45381</v>
      </c>
      <c r="E3" s="164" t="s">
        <v>231</v>
      </c>
      <c r="F3" s="88">
        <f>H19</f>
        <v>1568270</v>
      </c>
      <c r="G3" s="88">
        <f>C19</f>
        <v>1817177</v>
      </c>
      <c r="H3" s="88">
        <v>6</v>
      </c>
      <c r="I3" s="90"/>
      <c r="J3" s="42"/>
      <c r="K3" s="90"/>
      <c r="L3" s="90"/>
      <c r="M3" s="90"/>
    </row>
    <row r="4" spans="1:14" ht="15.75" customHeight="1" x14ac:dyDescent="0.15">
      <c r="A4" s="4"/>
      <c r="B4" s="108" t="s">
        <v>11</v>
      </c>
      <c r="C4" s="88">
        <v>1000</v>
      </c>
      <c r="D4" s="1" t="str">
        <f>Dashboard!G6</f>
        <v>HKD</v>
      </c>
      <c r="E4" s="164" t="s">
        <v>232</v>
      </c>
      <c r="F4" s="97">
        <f>(G3/F3)^(1/H3)-1</f>
        <v>2.4855727987756815E-2</v>
      </c>
      <c r="J4" s="90"/>
    </row>
    <row r="5" spans="1:14" ht="15.75" customHeight="1" x14ac:dyDescent="0.15">
      <c r="A5" s="16"/>
      <c r="B5" s="123" t="s">
        <v>146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8" t="s">
        <v>12</v>
      </c>
      <c r="C6" s="169">
        <v>15325962</v>
      </c>
      <c r="D6" s="169">
        <v>11977844</v>
      </c>
      <c r="E6" s="169">
        <v>11737803</v>
      </c>
      <c r="F6" s="169">
        <v>8861335</v>
      </c>
      <c r="G6" s="169">
        <v>11233771</v>
      </c>
      <c r="H6" s="169">
        <v>15859990</v>
      </c>
      <c r="I6" s="169"/>
      <c r="J6" s="169"/>
      <c r="K6" s="169"/>
      <c r="L6" s="169"/>
      <c r="M6" s="169"/>
      <c r="N6" s="90"/>
    </row>
    <row r="7" spans="1:14" ht="15.75" customHeight="1" x14ac:dyDescent="0.15">
      <c r="A7" s="4"/>
      <c r="B7" s="100" t="s">
        <v>13</v>
      </c>
      <c r="C7" s="96">
        <f t="shared" ref="C7:M7" si="1">IF(D6="","",C6/D6-1)</f>
        <v>0.27952593137796744</v>
      </c>
      <c r="D7" s="96">
        <f t="shared" si="1"/>
        <v>2.0450249505806095E-2</v>
      </c>
      <c r="E7" s="96">
        <f t="shared" si="1"/>
        <v>0.32460887665346139</v>
      </c>
      <c r="F7" s="96">
        <f t="shared" si="1"/>
        <v>-0.21118785490642455</v>
      </c>
      <c r="G7" s="96">
        <f t="shared" si="1"/>
        <v>-0.29169116752280422</v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15">
      <c r="A8" s="4"/>
      <c r="B8" s="101" t="s">
        <v>109</v>
      </c>
      <c r="C8" s="170">
        <v>11151623</v>
      </c>
      <c r="D8" s="170">
        <v>8747447</v>
      </c>
      <c r="E8" s="170">
        <v>8503976</v>
      </c>
      <c r="F8" s="170">
        <v>6229020</v>
      </c>
      <c r="G8" s="170">
        <v>7910751</v>
      </c>
      <c r="H8" s="170">
        <v>11826154</v>
      </c>
      <c r="I8" s="170"/>
      <c r="J8" s="170"/>
      <c r="K8" s="170"/>
      <c r="L8" s="170"/>
      <c r="M8" s="170"/>
      <c r="N8" s="90"/>
    </row>
    <row r="9" spans="1:14" ht="15.75" customHeight="1" x14ac:dyDescent="0.15">
      <c r="A9" s="4"/>
      <c r="B9" s="102" t="s">
        <v>105</v>
      </c>
      <c r="C9" s="171">
        <f t="shared" ref="C9:M9" si="2">IF(C6="","",(C6-C8))</f>
        <v>4174339</v>
      </c>
      <c r="D9" s="171">
        <f t="shared" si="2"/>
        <v>3230397</v>
      </c>
      <c r="E9" s="171">
        <f t="shared" si="2"/>
        <v>3233827</v>
      </c>
      <c r="F9" s="171">
        <f t="shared" si="2"/>
        <v>2632315</v>
      </c>
      <c r="G9" s="171">
        <f t="shared" si="2"/>
        <v>3323020</v>
      </c>
      <c r="H9" s="171">
        <f t="shared" si="2"/>
        <v>4033836</v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15">
      <c r="A10" s="4"/>
      <c r="B10" s="101" t="s">
        <v>107</v>
      </c>
      <c r="C10" s="170">
        <v>2297566</v>
      </c>
      <c r="D10" s="170">
        <v>1867515</v>
      </c>
      <c r="E10" s="170">
        <v>1815111</v>
      </c>
      <c r="F10" s="170">
        <v>1694480</v>
      </c>
      <c r="G10" s="170">
        <v>2118252</v>
      </c>
      <c r="H10" s="170">
        <v>2416769</v>
      </c>
      <c r="I10" s="170"/>
      <c r="J10" s="170"/>
      <c r="K10" s="170"/>
      <c r="L10" s="170"/>
      <c r="M10" s="170"/>
      <c r="N10" s="90"/>
    </row>
    <row r="11" spans="1:14" ht="15.75" customHeight="1" x14ac:dyDescent="0.15">
      <c r="A11" s="4"/>
      <c r="B11" s="98" t="s">
        <v>100</v>
      </c>
      <c r="C11" s="172">
        <f t="shared" ref="C11:M11" si="3">IF(C6="","",(C12/C6))</f>
        <v>2.9789581887257714E-2</v>
      </c>
      <c r="D11" s="172">
        <f t="shared" si="3"/>
        <v>3.1156775793707115E-2</v>
      </c>
      <c r="E11" s="172">
        <f t="shared" si="3"/>
        <v>0</v>
      </c>
      <c r="F11" s="172">
        <f t="shared" si="3"/>
        <v>0</v>
      </c>
      <c r="G11" s="172">
        <f t="shared" si="3"/>
        <v>0</v>
      </c>
      <c r="H11" s="172">
        <f t="shared" si="3"/>
        <v>0</v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15">
      <c r="A12" s="4"/>
      <c r="B12" s="101" t="s">
        <v>108</v>
      </c>
      <c r="C12" s="170">
        <v>456554</v>
      </c>
      <c r="D12" s="170">
        <v>373191</v>
      </c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15">
      <c r="A13" s="4"/>
      <c r="B13" s="102" t="s">
        <v>106</v>
      </c>
      <c r="C13" s="171">
        <f>IF(C6="","",(C9-C10+C12))</f>
        <v>2333327</v>
      </c>
      <c r="D13" s="171">
        <f t="shared" ref="D13:M13" si="4">IF(D6="","",(D9-D10+D12))</f>
        <v>1736073</v>
      </c>
      <c r="E13" s="171">
        <f t="shared" si="4"/>
        <v>1418716</v>
      </c>
      <c r="F13" s="171">
        <f t="shared" si="4"/>
        <v>937835</v>
      </c>
      <c r="G13" s="171">
        <f t="shared" si="4"/>
        <v>1204768</v>
      </c>
      <c r="H13" s="171">
        <f t="shared" si="4"/>
        <v>1617067</v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15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15">
      <c r="A15" s="4"/>
      <c r="B15" s="101" t="s">
        <v>111</v>
      </c>
      <c r="C15" s="170">
        <v>676387</v>
      </c>
      <c r="D15" s="170">
        <v>107280</v>
      </c>
      <c r="E15" s="170">
        <v>455483</v>
      </c>
      <c r="F15" s="170">
        <v>138937</v>
      </c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15">
      <c r="A16" s="4"/>
      <c r="B16" s="101" t="s">
        <v>113</v>
      </c>
      <c r="C16" s="170">
        <v>626583</v>
      </c>
      <c r="D16" s="170">
        <v>352099</v>
      </c>
      <c r="E16" s="170">
        <v>1045251</v>
      </c>
      <c r="F16" s="170">
        <v>-818677</v>
      </c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15">
      <c r="A17" s="4"/>
      <c r="B17" s="101" t="s">
        <v>129</v>
      </c>
      <c r="C17" s="170">
        <v>59596</v>
      </c>
      <c r="D17" s="170">
        <v>20763</v>
      </c>
      <c r="E17" s="170">
        <v>23097</v>
      </c>
      <c r="F17" s="170">
        <v>28849</v>
      </c>
      <c r="G17" s="170">
        <v>63075</v>
      </c>
      <c r="H17" s="170">
        <v>34253</v>
      </c>
      <c r="I17" s="170"/>
      <c r="J17" s="170"/>
      <c r="K17" s="170"/>
      <c r="L17" s="170"/>
      <c r="M17" s="170"/>
      <c r="N17" s="90"/>
    </row>
    <row r="18" spans="1:14" ht="15.75" customHeight="1" x14ac:dyDescent="0.15">
      <c r="A18" s="4"/>
      <c r="B18" s="103" t="s">
        <v>114</v>
      </c>
      <c r="C18" s="170">
        <v>-9467</v>
      </c>
      <c r="D18" s="170">
        <v>-30</v>
      </c>
      <c r="E18" s="170">
        <v>-27</v>
      </c>
      <c r="F18" s="170">
        <v>1799</v>
      </c>
      <c r="G18" s="170">
        <v>1337</v>
      </c>
      <c r="H18" s="170">
        <v>10908</v>
      </c>
      <c r="I18" s="170"/>
      <c r="J18" s="170"/>
      <c r="K18" s="170"/>
      <c r="L18" s="170"/>
      <c r="M18" s="170"/>
      <c r="N18" s="90"/>
    </row>
    <row r="19" spans="1:14" ht="15.75" customHeight="1" x14ac:dyDescent="0.15">
      <c r="A19" s="4"/>
      <c r="B19" s="103" t="s">
        <v>228</v>
      </c>
      <c r="C19" s="80">
        <f>IF(C6="","",C9-C10-C17-MAX(C18/(1-Fin_Analysis!$F$84),0))</f>
        <v>1817177</v>
      </c>
      <c r="D19" s="80">
        <f>IF(D6="","",D9-D10-D17-MAX(D18/(1-Fin_Analysis!$F$84),0))</f>
        <v>1342119</v>
      </c>
      <c r="E19" s="80">
        <f>IF(E6="","",E9-E10-E17-MAX(E18/(1-Fin_Analysis!$F$84),0))</f>
        <v>1395619</v>
      </c>
      <c r="F19" s="80">
        <f>IF(F6="","",F9-F10-F17-MAX(F18/(1-Fin_Analysis!$F$84),0))</f>
        <v>906587.33333333337</v>
      </c>
      <c r="G19" s="80">
        <f>IF(G6="","",G9-G10-G17-MAX(G18/(1-Fin_Analysis!$F$84),0))</f>
        <v>1139910.3333333333</v>
      </c>
      <c r="H19" s="80">
        <f>IF(H6="","",H9-H10-H17-MAX(H18/(1-Fin_Analysis!$F$84),0))</f>
        <v>1568270</v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15">
      <c r="A20" s="4"/>
      <c r="B20" s="103" t="s">
        <v>229</v>
      </c>
      <c r="C20" s="173">
        <f>IF(D19="","",IF(ABS(C19+D19)=ABS(C19)+ABS(D19),IF(C19&lt;0,-1,1)*(C19-D19)/D19,"Turn"))</f>
        <v>0.35396116141713219</v>
      </c>
      <c r="D20" s="173">
        <f t="shared" ref="D20:M20" si="5">IF(E19="","",IF(ABS(D19+E19)=ABS(D19)+ABS(E19),IF(D19&lt;0,-1,1)*(D19-E19)/E19,"Turn"))</f>
        <v>-3.8334244518023905E-2</v>
      </c>
      <c r="E20" s="173">
        <f t="shared" si="5"/>
        <v>0.53942036104629731</v>
      </c>
      <c r="F20" s="173">
        <f t="shared" si="5"/>
        <v>-0.20468539776959055</v>
      </c>
      <c r="G20" s="173">
        <f t="shared" si="5"/>
        <v>-0.27314152962606358</v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15">
      <c r="A21" s="4"/>
      <c r="B21" s="98" t="s">
        <v>115</v>
      </c>
      <c r="C21" s="80">
        <f>IF(C6="","",C13-C14-MAX(C15,0)-MAX(C16,0)-C17-MAX(C18/(1-Fin_Analysis!$F$84),0))</f>
        <v>970761</v>
      </c>
      <c r="D21" s="80">
        <f>IF(D6="","",D13-D14-MAX(D15,0)-MAX(D16,0)-D17-MAX(D18/(1-Fin_Analysis!$F$84),0))</f>
        <v>1255931</v>
      </c>
      <c r="E21" s="80">
        <f>IF(E6="","",E13-E14-MAX(E15,0)-MAX(E16,0)-E17-MAX(E18/(1-Fin_Analysis!$F$84),0))</f>
        <v>-105115</v>
      </c>
      <c r="F21" s="80">
        <f>IF(F6="","",F13-F14-MAX(F15,0)-MAX(F16,0)-F17-MAX(F18/(1-Fin_Analysis!$F$84),0))</f>
        <v>767650.33333333337</v>
      </c>
      <c r="G21" s="80">
        <f>IF(G6="","",G13-G14-MAX(G15,0)-MAX(G16,0)-G17-MAX(G18/(1-Fin_Analysis!$F$84),0))</f>
        <v>1139910.3333333333</v>
      </c>
      <c r="H21" s="80">
        <f>IF(H6="","",H13-H14-MAX(H15,0)-MAX(H16,0)-H17-MAX(H18/(1-Fin_Analysis!$F$84),0))</f>
        <v>1568270</v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15">
      <c r="A22" s="4"/>
      <c r="B22" s="102" t="s">
        <v>116</v>
      </c>
      <c r="C22" s="173">
        <f>IF(D21="","",IF(ABS(C21+D21)=ABS(C21)+ABS(D21),IF(C21&lt;0,-1,1)*(C21-D21)/D21,"Turn"))</f>
        <v>-0.22705865210748041</v>
      </c>
      <c r="D22" s="173" t="str">
        <f t="shared" ref="D22:M22" si="6">IF(E21="","",IF(ABS(D21+E21)=ABS(D21)+ABS(E21),IF(D21&lt;0,-1,1)*(D21-E21)/E21,"Turn"))</f>
        <v>Turn</v>
      </c>
      <c r="E22" s="173" t="str">
        <f t="shared" si="6"/>
        <v>Turn</v>
      </c>
      <c r="F22" s="173">
        <f t="shared" si="6"/>
        <v>-0.32656954596721194</v>
      </c>
      <c r="G22" s="173">
        <f t="shared" si="6"/>
        <v>-0.27314152962606358</v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15">
      <c r="A23" s="4"/>
      <c r="B23" s="104" t="s">
        <v>117</v>
      </c>
      <c r="C23" s="174">
        <f t="shared" ref="C23:M23" si="7">IF(C6="","",C24/C6)</f>
        <v>4.7505712855088637E-2</v>
      </c>
      <c r="D23" s="174">
        <f t="shared" si="7"/>
        <v>7.8640884786944962E-2</v>
      </c>
      <c r="E23" s="174">
        <f t="shared" si="7"/>
        <v>-6.7164400356693665E-3</v>
      </c>
      <c r="F23" s="174">
        <f t="shared" si="7"/>
        <v>6.4971897575252485E-2</v>
      </c>
      <c r="G23" s="174">
        <f t="shared" si="7"/>
        <v>7.6103807884280353E-2</v>
      </c>
      <c r="H23" s="174">
        <f t="shared" si="7"/>
        <v>7.4161616747551548E-2</v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15">
      <c r="A24" s="4"/>
      <c r="B24" s="106" t="s">
        <v>118</v>
      </c>
      <c r="C24" s="175">
        <f>IF(C6="","",C21*(1-Fin_Analysis!$F$84))</f>
        <v>728070.75</v>
      </c>
      <c r="D24" s="80">
        <f>IF(D6="","",D21*(1-Fin_Analysis!$F$84))</f>
        <v>941948.25</v>
      </c>
      <c r="E24" s="80">
        <f>IF(E6="","",E21*(1-Fin_Analysis!$F$84))</f>
        <v>-78836.25</v>
      </c>
      <c r="F24" s="80">
        <f>IF(F6="","",F21*(1-Fin_Analysis!$F$84))</f>
        <v>575737.75</v>
      </c>
      <c r="G24" s="80">
        <f>IF(G6="","",G21*(1-Fin_Analysis!$F$84))</f>
        <v>854932.75</v>
      </c>
      <c r="H24" s="80">
        <f>IF(H6="","",H21*(1-Fin_Analysis!$F$84))</f>
        <v>1176202.5</v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2">
      <c r="A25" s="4"/>
      <c r="B25" s="105" t="s">
        <v>138</v>
      </c>
      <c r="C25" s="176">
        <f>IF(D24="","",IF(ABS(C24+D24)=ABS(C24)+ABS(D24),IF(C24&lt;0,-1,1)*(C24-D24)/D24,"Turn"))</f>
        <v>-0.22705865210748041</v>
      </c>
      <c r="D25" s="176" t="str">
        <f t="shared" ref="D25:M25" si="8">IF(E24="","",IF(ABS(D24+E24)=ABS(D24)+ABS(E24),IF(D24&lt;0,-1,1)*(D24-E24)/E24,"Turn"))</f>
        <v>Turn</v>
      </c>
      <c r="E25" s="176" t="str">
        <f t="shared" si="8"/>
        <v>Turn</v>
      </c>
      <c r="F25" s="176">
        <f t="shared" si="8"/>
        <v>-0.32656954596721205</v>
      </c>
      <c r="G25" s="176">
        <f t="shared" si="8"/>
        <v>-0.27314152962606353</v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15">
      <c r="A26" s="16"/>
      <c r="B26" s="122" t="s">
        <v>147</v>
      </c>
      <c r="C26" s="48">
        <f>Fin_Analysis!D9</f>
        <v>45381</v>
      </c>
      <c r="D26" s="49">
        <f>D5</f>
        <v>45016</v>
      </c>
      <c r="E26" s="49">
        <f t="shared" ref="E26" si="9">EOMONTH(EDATE(D26,-12),0)</f>
        <v>44651</v>
      </c>
      <c r="F26" s="49">
        <f t="shared" ref="F26" si="10">EOMONTH(EDATE(E26,-12),0)</f>
        <v>44286</v>
      </c>
      <c r="G26" s="49">
        <f t="shared" ref="G26" si="11">EOMONTH(EDATE(F26,-12),0)</f>
        <v>43921</v>
      </c>
      <c r="H26" s="49">
        <f t="shared" ref="H26" si="12">EOMONTH(EDATE(G26,-12),0)</f>
        <v>43555</v>
      </c>
      <c r="I26" s="49">
        <f t="shared" ref="I26" si="13">EOMONTH(EDATE(H26,-12),0)</f>
        <v>43190</v>
      </c>
      <c r="J26" s="49">
        <f t="shared" ref="J26" si="14">EOMONTH(EDATE(I26,-12),0)</f>
        <v>42825</v>
      </c>
      <c r="K26" s="49">
        <f t="shared" ref="K26" si="15">EOMONTH(EDATE(J26,-12),0)</f>
        <v>42460</v>
      </c>
      <c r="L26" s="49">
        <f t="shared" ref="L26" si="16">EOMONTH(EDATE(K26,-12),0)</f>
        <v>42094</v>
      </c>
      <c r="M26" s="49">
        <f t="shared" ref="M26" si="17">EOMONTH(EDATE(L26,-12),0)</f>
        <v>41729</v>
      </c>
      <c r="N26" s="90"/>
    </row>
    <row r="27" spans="1:14" ht="15.75" customHeight="1" x14ac:dyDescent="0.15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14928506</v>
      </c>
      <c r="E27" s="66">
        <f t="shared" si="18"/>
        <v>16220269</v>
      </c>
      <c r="F27" s="66">
        <f t="shared" si="18"/>
        <v>14512039</v>
      </c>
      <c r="G27" s="66">
        <f t="shared" si="18"/>
        <v>0</v>
      </c>
      <c r="H27" s="66">
        <f t="shared" si="18"/>
        <v>0</v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15">
      <c r="A28" s="4"/>
      <c r="B28" s="98" t="s">
        <v>15</v>
      </c>
      <c r="C28" s="66">
        <f>Fin_Analysis!C28</f>
        <v>12332308</v>
      </c>
      <c r="D28" s="170">
        <v>11972903</v>
      </c>
      <c r="E28" s="170">
        <v>13002006</v>
      </c>
      <c r="F28" s="170">
        <v>11732726</v>
      </c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15">
      <c r="A29" s="4"/>
      <c r="B29" s="98" t="s">
        <v>121</v>
      </c>
      <c r="C29" s="66">
        <f>Fin_Analysis!C13</f>
        <v>265773</v>
      </c>
      <c r="D29" s="170">
        <v>213823</v>
      </c>
      <c r="E29" s="170">
        <v>187711</v>
      </c>
      <c r="F29" s="170">
        <v>277338</v>
      </c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15">
      <c r="A30" s="4"/>
      <c r="B30" s="98" t="s">
        <v>161</v>
      </c>
      <c r="C30" s="66">
        <f>Fin_Analysis!C18</f>
        <v>9672256</v>
      </c>
      <c r="D30" s="170">
        <v>8852611</v>
      </c>
      <c r="E30" s="170">
        <v>8769304</v>
      </c>
      <c r="F30" s="170">
        <v>7321614</v>
      </c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15">
      <c r="A31" s="4"/>
      <c r="B31" s="98" t="s">
        <v>16</v>
      </c>
      <c r="C31" s="66">
        <f>Fin_Analysis!I28</f>
        <v>3516809</v>
      </c>
      <c r="D31" s="170">
        <v>2466431</v>
      </c>
      <c r="E31" s="170">
        <v>3908586</v>
      </c>
      <c r="F31" s="170">
        <v>2946772</v>
      </c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15">
      <c r="A32" s="4"/>
      <c r="B32" s="98" t="s">
        <v>120</v>
      </c>
      <c r="C32" s="66">
        <f>Fin_Analysis!I48</f>
        <v>473357</v>
      </c>
      <c r="D32" s="170">
        <v>241133</v>
      </c>
      <c r="E32" s="170">
        <v>233155</v>
      </c>
      <c r="F32" s="170">
        <v>241043</v>
      </c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15">
      <c r="A33" s="4"/>
      <c r="B33" s="98" t="s">
        <v>17</v>
      </c>
      <c r="C33" s="66">
        <f>Fin_Analysis!I15</f>
        <v>649697</v>
      </c>
      <c r="D33" s="170">
        <v>35175</v>
      </c>
      <c r="E33" s="170">
        <v>1587989</v>
      </c>
      <c r="F33" s="170">
        <v>1050082</v>
      </c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15">
      <c r="A34" s="4"/>
      <c r="B34" s="98" t="s">
        <v>18</v>
      </c>
      <c r="C34" s="66">
        <f>Fin_Analysis!I34</f>
        <v>319420</v>
      </c>
      <c r="D34" s="170">
        <v>67759</v>
      </c>
      <c r="E34" s="170">
        <v>153013</v>
      </c>
      <c r="F34" s="170">
        <v>81854</v>
      </c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15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102934</v>
      </c>
      <c r="E35" s="80">
        <f t="shared" si="19"/>
        <v>1741002</v>
      </c>
      <c r="F35" s="80">
        <f t="shared" si="19"/>
        <v>1131936</v>
      </c>
      <c r="G35" s="80">
        <f t="shared" si="19"/>
        <v>0</v>
      </c>
      <c r="H35" s="80">
        <f t="shared" si="19"/>
        <v>0</v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15">
      <c r="A36" s="4"/>
      <c r="B36" s="98" t="s">
        <v>150</v>
      </c>
      <c r="C36" s="66">
        <f>Fin_Analysis!D3</f>
        <v>12863898</v>
      </c>
      <c r="D36" s="170">
        <v>12220942</v>
      </c>
      <c r="E36" s="170">
        <v>12078528</v>
      </c>
      <c r="F36" s="170">
        <v>11324224</v>
      </c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15">
      <c r="A37" s="4"/>
      <c r="B37" s="98" t="s">
        <v>151</v>
      </c>
      <c r="C37" s="66">
        <f>Fin_Analysis!D4</f>
        <v>-26962</v>
      </c>
      <c r="D37" s="170">
        <v>-498</v>
      </c>
      <c r="E37" s="170">
        <v>468</v>
      </c>
      <c r="F37" s="170">
        <v>411</v>
      </c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15">
      <c r="A38" s="4"/>
      <c r="B38" s="98" t="s">
        <v>149</v>
      </c>
      <c r="C38" s="66">
        <f>Fin_Analysis!C63</f>
        <v>2923945</v>
      </c>
      <c r="D38" s="170">
        <v>3475378</v>
      </c>
      <c r="E38" s="170">
        <v>4499643</v>
      </c>
      <c r="F38" s="170">
        <v>4455433</v>
      </c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15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11453128</v>
      </c>
      <c r="E39" s="66">
        <f t="shared" si="20"/>
        <v>11720626</v>
      </c>
      <c r="F39" s="66">
        <f t="shared" si="20"/>
        <v>10056606</v>
      </c>
      <c r="G39" s="66">
        <f t="shared" si="20"/>
        <v>0</v>
      </c>
      <c r="H39" s="66">
        <f t="shared" si="20"/>
        <v>0</v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15">
      <c r="A40" s="4"/>
      <c r="B40" s="102" t="s">
        <v>171</v>
      </c>
      <c r="C40" s="177">
        <f t="shared" ref="C40:M40" si="21">IF(C6="","",C21/C39)</f>
        <v>6.9687918674635876E-2</v>
      </c>
      <c r="D40" s="177">
        <f t="shared" si="21"/>
        <v>0.10965833962564638</v>
      </c>
      <c r="E40" s="177">
        <f t="shared" si="21"/>
        <v>-8.9683776276113583E-3</v>
      </c>
      <c r="F40" s="177">
        <f t="shared" si="21"/>
        <v>7.6332943075758691E-2</v>
      </c>
      <c r="G40" s="177" t="e">
        <f t="shared" si="21"/>
        <v>#DIV/0!</v>
      </c>
      <c r="H40" s="177" t="e">
        <f t="shared" si="21"/>
        <v>#DIV/0!</v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15">
      <c r="A42" s="4"/>
      <c r="B42" s="99" t="s">
        <v>99</v>
      </c>
      <c r="C42" s="178">
        <f t="shared" ref="C42:M42" si="22">IF(C6="","",C8/C6)</f>
        <v>0.72762956087193742</v>
      </c>
      <c r="D42" s="178">
        <f t="shared" si="22"/>
        <v>0.7303022981431383</v>
      </c>
      <c r="E42" s="178">
        <f t="shared" si="22"/>
        <v>0.7244946946204498</v>
      </c>
      <c r="F42" s="178">
        <f t="shared" si="22"/>
        <v>0.70294374380383995</v>
      </c>
      <c r="G42" s="178">
        <f t="shared" si="22"/>
        <v>0.70419372087965826</v>
      </c>
      <c r="H42" s="178">
        <f t="shared" si="22"/>
        <v>0.74565961264792724</v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15">
      <c r="A43" s="4"/>
      <c r="B43" s="98" t="s">
        <v>126</v>
      </c>
      <c r="C43" s="174">
        <f t="shared" ref="C43:M43" si="23">IF(C6="","",(C10-C12)/C6)</f>
        <v>0.12012374818624762</v>
      </c>
      <c r="D43" s="174">
        <f t="shared" si="23"/>
        <v>0.12475734364214461</v>
      </c>
      <c r="E43" s="174">
        <f t="shared" si="23"/>
        <v>0.1546380527940365</v>
      </c>
      <c r="F43" s="174">
        <f t="shared" si="23"/>
        <v>0.19122175157580659</v>
      </c>
      <c r="G43" s="174">
        <f t="shared" si="23"/>
        <v>0.18856108069142588</v>
      </c>
      <c r="H43" s="174">
        <f t="shared" si="23"/>
        <v>0.15238149582692045</v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15">
      <c r="A44" s="4"/>
      <c r="B44" s="98" t="s">
        <v>101</v>
      </c>
      <c r="C44" s="174">
        <f t="shared" ref="C44:M44" si="24">IF(C6="","",(C14+MAX(C15,0))/C6)</f>
        <v>4.413341231043115E-2</v>
      </c>
      <c r="D44" s="174">
        <f t="shared" si="24"/>
        <v>8.9565367523571013E-3</v>
      </c>
      <c r="E44" s="174">
        <f t="shared" si="24"/>
        <v>3.8804791663312119E-2</v>
      </c>
      <c r="F44" s="174">
        <f t="shared" si="24"/>
        <v>1.5679014505150749E-2</v>
      </c>
      <c r="G44" s="174">
        <f t="shared" si="24"/>
        <v>0</v>
      </c>
      <c r="H44" s="174">
        <f t="shared" si="24"/>
        <v>0</v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15">
      <c r="A45" s="4"/>
      <c r="B45" s="98" t="s">
        <v>112</v>
      </c>
      <c r="C45" s="174">
        <f t="shared" ref="C45:M45" si="25">IF(C6="","",MAX(C16,0)/C6)</f>
        <v>4.0883763120383568E-2</v>
      </c>
      <c r="D45" s="174">
        <f t="shared" si="25"/>
        <v>2.9395857885609465E-2</v>
      </c>
      <c r="E45" s="174">
        <f t="shared" si="25"/>
        <v>8.9049969572670459E-2</v>
      </c>
      <c r="F45" s="174">
        <f t="shared" si="25"/>
        <v>0</v>
      </c>
      <c r="G45" s="174">
        <f t="shared" si="25"/>
        <v>0</v>
      </c>
      <c r="H45" s="174">
        <f t="shared" si="25"/>
        <v>0</v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15">
      <c r="A46" s="4"/>
      <c r="B46" s="98" t="s">
        <v>127</v>
      </c>
      <c r="C46" s="174">
        <f t="shared" ref="C46:M46" si="26">IF(C6="","",C17/C6)</f>
        <v>3.8885650375487034E-3</v>
      </c>
      <c r="D46" s="174">
        <f t="shared" si="26"/>
        <v>1.7334505274905901E-3</v>
      </c>
      <c r="E46" s="174">
        <f t="shared" si="26"/>
        <v>1.9677447304235723E-3</v>
      </c>
      <c r="F46" s="174">
        <f t="shared" si="26"/>
        <v>3.2556042627888463E-3</v>
      </c>
      <c r="G46" s="174">
        <f t="shared" si="26"/>
        <v>5.6147664039083583E-3</v>
      </c>
      <c r="H46" s="174">
        <f t="shared" si="26"/>
        <v>2.1597113239037349E-3</v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15">
      <c r="A47" s="4"/>
      <c r="B47" s="98" t="s">
        <v>139</v>
      </c>
      <c r="C47" s="174">
        <f>IF(C6="","",MAX(C18,0)/(1-Fin_Analysis!$F$84)/C6)</f>
        <v>0</v>
      </c>
      <c r="D47" s="174">
        <f>IF(D6="","",MAX(D18,0)/(1-Fin_Analysis!$F$84)/D6)</f>
        <v>0</v>
      </c>
      <c r="E47" s="174">
        <f>IF(E6="","",MAX(E18,0)/(1-Fin_Analysis!$F$84)/E6)</f>
        <v>0</v>
      </c>
      <c r="F47" s="174">
        <f>IF(F6="","",MAX(F18,0)/(1-Fin_Analysis!$F$84)/F6)</f>
        <v>2.7068908541056925E-4</v>
      </c>
      <c r="G47" s="174">
        <f>IF(G6="","",MAX(G18,0)/(1-Fin_Analysis!$F$84)/G6)</f>
        <v>1.5868817930031392E-4</v>
      </c>
      <c r="H47" s="174">
        <f>IF(H6="","",MAX(H18,0)/(1-Fin_Analysis!$F$84)/H6)</f>
        <v>9.1702453784649294E-4</v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15">
      <c r="A48" s="4"/>
      <c r="B48" s="98" t="s">
        <v>130</v>
      </c>
      <c r="C48" s="174">
        <f t="shared" ref="C48:M48" si="27">IF(C6="","",C21/C6)</f>
        <v>6.3340950473451521E-2</v>
      </c>
      <c r="D48" s="174">
        <f t="shared" si="27"/>
        <v>0.10485451304925995</v>
      </c>
      <c r="E48" s="174">
        <f t="shared" si="27"/>
        <v>-8.9552533808924892E-3</v>
      </c>
      <c r="F48" s="174">
        <f t="shared" si="27"/>
        <v>8.6629196767003327E-2</v>
      </c>
      <c r="G48" s="174">
        <f t="shared" si="27"/>
        <v>0.10147174384570713</v>
      </c>
      <c r="H48" s="174">
        <f t="shared" si="27"/>
        <v>9.8882155663402055E-2</v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15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15">
      <c r="A50" s="4"/>
      <c r="B50" s="99" t="s">
        <v>159</v>
      </c>
      <c r="C50" s="178">
        <f t="shared" ref="C50:M50" si="28">IF(C6="","",C29/C6)</f>
        <v>1.7341358408692387E-2</v>
      </c>
      <c r="D50" s="178">
        <f t="shared" si="28"/>
        <v>1.7851543232655226E-2</v>
      </c>
      <c r="E50" s="178">
        <f t="shared" si="28"/>
        <v>1.5992004636642819E-2</v>
      </c>
      <c r="F50" s="178">
        <f t="shared" si="28"/>
        <v>3.1297541510393184E-2</v>
      </c>
      <c r="G50" s="178">
        <f t="shared" si="28"/>
        <v>0</v>
      </c>
      <c r="H50" s="178">
        <f t="shared" si="28"/>
        <v>0</v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15">
      <c r="A51" s="4"/>
      <c r="B51" s="98" t="s">
        <v>160</v>
      </c>
      <c r="C51" s="174">
        <f t="shared" ref="C51:M51" si="29">IF(C6="","",C30/C6)</f>
        <v>0.63110270011109249</v>
      </c>
      <c r="D51" s="174">
        <f t="shared" si="29"/>
        <v>0.73908217538982812</v>
      </c>
      <c r="E51" s="174">
        <f t="shared" si="29"/>
        <v>0.74709926550990846</v>
      </c>
      <c r="F51" s="174">
        <f t="shared" si="29"/>
        <v>0.82624277267477186</v>
      </c>
      <c r="G51" s="174">
        <f t="shared" si="29"/>
        <v>0</v>
      </c>
      <c r="H51" s="174">
        <f t="shared" si="29"/>
        <v>0</v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15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9" t="s">
        <v>20</v>
      </c>
      <c r="C53" s="178">
        <f>IF(C36="","",(C27-C36)/C27)</f>
        <v>0.23674800333023538</v>
      </c>
      <c r="D53" s="178">
        <f t="shared" ref="D53:M53" si="30">IF(D36="","",(D27-D36)/D27)</f>
        <v>0.1813687183432823</v>
      </c>
      <c r="E53" s="178">
        <f t="shared" si="30"/>
        <v>0.2553435457821322</v>
      </c>
      <c r="F53" s="178">
        <f t="shared" si="30"/>
        <v>0.21966692619831024</v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15">
      <c r="A54" s="4"/>
      <c r="B54" s="98" t="s">
        <v>125</v>
      </c>
      <c r="C54" s="179">
        <f t="shared" ref="C54:M54" si="31">IF(C21="","",IF(C35&lt;=0,"-",C21/C35))</f>
        <v>1.0016963896000173</v>
      </c>
      <c r="D54" s="179">
        <f t="shared" si="31"/>
        <v>12.201323177958692</v>
      </c>
      <c r="E54" s="179">
        <f t="shared" si="31"/>
        <v>-6.0376151204880865E-2</v>
      </c>
      <c r="F54" s="179">
        <f t="shared" si="31"/>
        <v>0.67817467889821803</v>
      </c>
      <c r="G54" s="179" t="str">
        <f t="shared" si="31"/>
        <v>-</v>
      </c>
      <c r="H54" s="179" t="str">
        <f t="shared" si="31"/>
        <v>-</v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15">
      <c r="A55" s="4"/>
      <c r="B55" s="98" t="s">
        <v>128</v>
      </c>
      <c r="C55" s="174">
        <f t="shared" ref="C55:M55" si="32">IF(C21="","",IF(C17&lt;=0,"-",C17/C21))</f>
        <v>6.1391011793840093E-2</v>
      </c>
      <c r="D55" s="174">
        <f t="shared" si="32"/>
        <v>1.6531959160176794E-2</v>
      </c>
      <c r="E55" s="174">
        <f t="shared" si="32"/>
        <v>-0.21973077106026734</v>
      </c>
      <c r="F55" s="174">
        <f t="shared" si="32"/>
        <v>3.7580912490105083E-2</v>
      </c>
      <c r="G55" s="174">
        <f t="shared" si="32"/>
        <v>5.5333299607483753E-2</v>
      </c>
      <c r="H55" s="174">
        <f t="shared" si="32"/>
        <v>2.1841264578165751E-2</v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15">
      <c r="A56" s="4"/>
      <c r="B56" s="102" t="s">
        <v>21</v>
      </c>
      <c r="C56" s="180">
        <f t="shared" ref="C56:M56" si="33">IF(C28="","",C28/C31)</f>
        <v>3.5066755118062995</v>
      </c>
      <c r="D56" s="180">
        <f t="shared" si="33"/>
        <v>4.8543433811852026</v>
      </c>
      <c r="E56" s="180">
        <f t="shared" si="33"/>
        <v>3.3265242212912804</v>
      </c>
      <c r="F56" s="180">
        <f t="shared" si="33"/>
        <v>3.9815520169188523</v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7" zoomScaleNormal="100" workbookViewId="0">
      <selection activeCell="C92" sqref="C9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15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15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15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2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15">
      <c r="B7" s="19" t="s">
        <v>29</v>
      </c>
      <c r="C7" s="90"/>
      <c r="D7" s="67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15">
      <c r="C8" s="90"/>
      <c r="D8" s="90"/>
      <c r="E8" s="90"/>
      <c r="K8" s="24"/>
    </row>
    <row r="9" spans="1:11" ht="15" customHeight="1" x14ac:dyDescent="0.2">
      <c r="A9" s="2"/>
      <c r="B9" s="46" t="s">
        <v>32</v>
      </c>
      <c r="C9" s="89"/>
      <c r="D9" s="68">
        <v>45381</v>
      </c>
      <c r="E9" s="127" t="str">
        <f>IF(MONTH(D9)=MONTH(Data!C3),"FY","Quarter")</f>
        <v>FY</v>
      </c>
      <c r="F9" s="89"/>
      <c r="G9" s="89"/>
      <c r="H9" s="89"/>
      <c r="I9" s="89"/>
      <c r="K9" s="24"/>
    </row>
    <row r="10" spans="1:11" ht="15" customHeight="1" x14ac:dyDescent="0.15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15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4" x14ac:dyDescent="0.15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4" x14ac:dyDescent="0.15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4" x14ac:dyDescent="0.15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4" x14ac:dyDescent="0.15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4" x14ac:dyDescent="0.15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4" x14ac:dyDescent="0.15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4" x14ac:dyDescent="0.15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4" x14ac:dyDescent="0.15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4" x14ac:dyDescent="0.15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15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15">
      <c r="C23" s="90"/>
      <c r="D23" s="90"/>
      <c r="E23" s="90"/>
      <c r="F23" s="116" t="s">
        <v>52</v>
      </c>
      <c r="G23" s="90"/>
    </row>
    <row r="24" spans="2:10" ht="15" customHeight="1" x14ac:dyDescent="0.15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15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15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15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15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15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15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4" x14ac:dyDescent="0.15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4" x14ac:dyDescent="0.15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4" x14ac:dyDescent="0.15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4" x14ac:dyDescent="0.15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4" x14ac:dyDescent="0.15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15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4" x14ac:dyDescent="0.15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15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15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15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15">
      <c r="C43" s="90"/>
      <c r="D43" s="90"/>
      <c r="E43" s="90"/>
      <c r="F43" s="90"/>
      <c r="G43" s="90"/>
      <c r="H43" s="90"/>
      <c r="I43" s="90"/>
    </row>
    <row r="44" spans="2:10" ht="15" customHeight="1" x14ac:dyDescent="0.15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15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15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15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15">
      <c r="C50" s="90"/>
      <c r="D50" s="90"/>
      <c r="E50" s="90"/>
      <c r="I50" s="90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4" x14ac:dyDescent="0.15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15">
      <c r="C54" s="90"/>
      <c r="D54" s="90"/>
      <c r="E54" s="90"/>
      <c r="F54" s="90"/>
      <c r="G54" s="90"/>
      <c r="H54" s="90"/>
      <c r="I54" s="90"/>
    </row>
    <row r="55" spans="2:10" ht="14" x14ac:dyDescent="0.15">
      <c r="B55" s="25" t="s">
        <v>163</v>
      </c>
      <c r="C55" s="3"/>
      <c r="E55" s="135"/>
      <c r="F55" s="3"/>
      <c r="G55" s="3"/>
      <c r="H55" s="90"/>
      <c r="I55" s="90"/>
    </row>
    <row r="56" spans="2:10" ht="14" x14ac:dyDescent="0.15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4" x14ac:dyDescent="0.15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15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15">
      <c r="C59" s="90"/>
      <c r="D59" s="90"/>
      <c r="E59" s="90"/>
      <c r="F59" s="90"/>
      <c r="G59" s="90"/>
      <c r="H59" s="90"/>
      <c r="I59" s="90"/>
    </row>
    <row r="60" spans="2:10" ht="14" x14ac:dyDescent="0.15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15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4" x14ac:dyDescent="0.15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4" x14ac:dyDescent="0.15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thickBot="1" x14ac:dyDescent="0.2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thickTop="1" x14ac:dyDescent="0.15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4" x14ac:dyDescent="0.15">
      <c r="B66" s="3"/>
      <c r="C66" s="71"/>
      <c r="D66" s="29"/>
      <c r="E66" s="62"/>
      <c r="F66" s="90"/>
      <c r="G66" s="90"/>
      <c r="H66" s="90"/>
      <c r="I66" s="90"/>
    </row>
    <row r="67" spans="1:9" ht="14" x14ac:dyDescent="0.15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4" x14ac:dyDescent="0.15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thickBot="1" x14ac:dyDescent="0.2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thickTop="1" x14ac:dyDescent="0.15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15">
      <c r="A72" s="5"/>
      <c r="B72" s="111" t="s">
        <v>137</v>
      </c>
      <c r="C72" s="223">
        <f>Data!C5</f>
        <v>45381</v>
      </c>
      <c r="D72" s="223"/>
      <c r="H72" s="50" t="s">
        <v>8</v>
      </c>
    </row>
    <row r="73" spans="1:9" ht="15" customHeight="1" x14ac:dyDescent="0.15">
      <c r="B73" s="12" t="str">
        <f>"(Numbers in "&amp;Data!C4&amp;Dashboard!G6&amp;")"</f>
        <v>(Numbers in 1000HKD)</v>
      </c>
      <c r="C73" s="222" t="s">
        <v>103</v>
      </c>
      <c r="D73" s="222"/>
      <c r="E73" s="224" t="s">
        <v>104</v>
      </c>
      <c r="F73" s="222"/>
    </row>
    <row r="74" spans="1:9" ht="15" customHeight="1" x14ac:dyDescent="0.15">
      <c r="B74" s="3" t="s">
        <v>136</v>
      </c>
      <c r="C74" s="80">
        <f>Data!C6</f>
        <v>15325962</v>
      </c>
      <c r="D74" s="181"/>
      <c r="E74" s="182">
        <f>C74</f>
        <v>15325962</v>
      </c>
      <c r="F74" s="181"/>
    </row>
    <row r="75" spans="1:9" ht="15" customHeight="1" x14ac:dyDescent="0.15">
      <c r="B75" s="109" t="s">
        <v>109</v>
      </c>
      <c r="C75" s="80">
        <f>Data!C8</f>
        <v>11151623</v>
      </c>
      <c r="D75" s="183">
        <f>C75/$C$74</f>
        <v>0.72762956087193742</v>
      </c>
      <c r="E75" s="182">
        <f>D75*E74</f>
        <v>11151623</v>
      </c>
      <c r="F75" s="184">
        <f>E75/$E$74</f>
        <v>0.72762956087193742</v>
      </c>
    </row>
    <row r="76" spans="1:9" ht="15" customHeight="1" x14ac:dyDescent="0.15">
      <c r="B76" s="35" t="s">
        <v>96</v>
      </c>
      <c r="C76" s="185">
        <f>C74-C75</f>
        <v>4174339</v>
      </c>
      <c r="D76" s="186"/>
      <c r="E76" s="187">
        <f>E74-E75</f>
        <v>4174339</v>
      </c>
      <c r="F76" s="186"/>
    </row>
    <row r="77" spans="1:9" ht="15" customHeight="1" x14ac:dyDescent="0.15">
      <c r="B77" s="109" t="s">
        <v>133</v>
      </c>
      <c r="C77" s="80">
        <f>Data!C10-Data!C12</f>
        <v>1841012</v>
      </c>
      <c r="D77" s="183">
        <f>C77/$C$74</f>
        <v>0.12012374818624762</v>
      </c>
      <c r="E77" s="182">
        <f>D77*E74</f>
        <v>1841012</v>
      </c>
      <c r="F77" s="184">
        <f>E77/$E$74</f>
        <v>0.12012374818624762</v>
      </c>
    </row>
    <row r="78" spans="1:9" ht="15" customHeight="1" x14ac:dyDescent="0.15">
      <c r="B78" s="35" t="s">
        <v>97</v>
      </c>
      <c r="C78" s="185">
        <f>C76-C77</f>
        <v>2333327</v>
      </c>
      <c r="D78" s="186"/>
      <c r="E78" s="187">
        <f>E76-E77</f>
        <v>2333327</v>
      </c>
      <c r="F78" s="186"/>
    </row>
    <row r="79" spans="1:9" ht="15" customHeight="1" x14ac:dyDescent="0.15">
      <c r="B79" s="109" t="s">
        <v>129</v>
      </c>
      <c r="C79" s="80">
        <f>Data!C17</f>
        <v>59596</v>
      </c>
      <c r="D79" s="183">
        <f>C79/$C$74</f>
        <v>3.8885650375487034E-3</v>
      </c>
      <c r="E79" s="182">
        <f>C79</f>
        <v>59596</v>
      </c>
      <c r="F79" s="184">
        <f>E79/$E$74</f>
        <v>3.8885650375487034E-3</v>
      </c>
    </row>
    <row r="80" spans="1:9" ht="15" customHeight="1" x14ac:dyDescent="0.15">
      <c r="B80" s="28" t="s">
        <v>135</v>
      </c>
      <c r="C80" s="80">
        <f>Data!C14+MAX(Data!C15,0)</f>
        <v>676387</v>
      </c>
      <c r="D80" s="183">
        <f>C80/$C$74</f>
        <v>4.413341231043115E-2</v>
      </c>
      <c r="E80" s="182">
        <f>3%*E74</f>
        <v>459778.86</v>
      </c>
      <c r="F80" s="184">
        <f t="shared" ref="F80:F83" si="8">E80/$E$74</f>
        <v>0.03</v>
      </c>
    </row>
    <row r="81" spans="1:8" ht="15" customHeight="1" x14ac:dyDescent="0.15">
      <c r="B81" s="28" t="s">
        <v>113</v>
      </c>
      <c r="C81" s="80">
        <f>MAX(Data!C16,0)</f>
        <v>626583</v>
      </c>
      <c r="D81" s="183">
        <f>C81/$C$74</f>
        <v>4.0883763120383568E-2</v>
      </c>
      <c r="E81" s="182">
        <f>C81</f>
        <v>626583</v>
      </c>
      <c r="F81" s="184">
        <f t="shared" si="8"/>
        <v>4.0883763120383568E-2</v>
      </c>
      <c r="H81" s="115" t="s">
        <v>141</v>
      </c>
    </row>
    <row r="82" spans="1:8" ht="15" customHeight="1" x14ac:dyDescent="0.15">
      <c r="B82" s="76" t="s">
        <v>190</v>
      </c>
      <c r="C82" s="80">
        <f>MAX(Data!C18,0)</f>
        <v>0</v>
      </c>
      <c r="D82" s="183">
        <f>C82/$C$74</f>
        <v>0</v>
      </c>
      <c r="E82" s="182">
        <v>0</v>
      </c>
      <c r="F82" s="184">
        <f t="shared" si="8"/>
        <v>0</v>
      </c>
    </row>
    <row r="83" spans="1:8" ht="15" customHeight="1" thickBot="1" x14ac:dyDescent="0.2">
      <c r="B83" s="110" t="s">
        <v>134</v>
      </c>
      <c r="C83" s="188">
        <f>C78-C79-C80-C81-C82</f>
        <v>970761</v>
      </c>
      <c r="D83" s="189">
        <f>C83/$C$74</f>
        <v>6.3340950473451521E-2</v>
      </c>
      <c r="E83" s="190">
        <f>E78-E79-E80-E81-E82</f>
        <v>1187369.1400000001</v>
      </c>
      <c r="F83" s="191">
        <f t="shared" si="8"/>
        <v>7.7474362783882672E-2</v>
      </c>
    </row>
    <row r="84" spans="1:8" ht="15" customHeight="1" thickTop="1" x14ac:dyDescent="0.15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15">
      <c r="B85" s="89" t="s">
        <v>179</v>
      </c>
      <c r="C85" s="185">
        <f>C83*(1-F84)</f>
        <v>728070.75</v>
      </c>
      <c r="D85" s="191">
        <f>C85/$C$74</f>
        <v>4.7505712855088637E-2</v>
      </c>
      <c r="E85" s="196">
        <f>E83*(1-F84)</f>
        <v>890526.8550000001</v>
      </c>
      <c r="F85" s="191">
        <f>E85/$E$74</f>
        <v>5.8105772087912011E-2</v>
      </c>
    </row>
    <row r="86" spans="1:8" ht="15" customHeight="1" x14ac:dyDescent="0.15">
      <c r="B86" s="90" t="s">
        <v>174</v>
      </c>
      <c r="C86" s="197">
        <f>C85*Data!C4/Common_Shares</f>
        <v>1.2400971133327547</v>
      </c>
      <c r="D86" s="181"/>
      <c r="E86" s="198">
        <f>E85*Data!C4/Common_Shares</f>
        <v>1.5168028412496957</v>
      </c>
      <c r="F86" s="181"/>
    </row>
    <row r="87" spans="1:8" ht="15" customHeight="1" x14ac:dyDescent="0.15">
      <c r="B87" s="89" t="s">
        <v>175</v>
      </c>
      <c r="C87" s="199">
        <f>0.72+0.64</f>
        <v>1.3599999999999999</v>
      </c>
      <c r="D87" s="191">
        <f>C87/C86</f>
        <v>1.0966883039869408</v>
      </c>
      <c r="E87" s="200">
        <f>C87</f>
        <v>1.3599999999999999</v>
      </c>
      <c r="F87" s="191">
        <f>E87/E86</f>
        <v>0.8966227930318843</v>
      </c>
    </row>
    <row r="88" spans="1:8" ht="15" customHeight="1" x14ac:dyDescent="0.15">
      <c r="B88" s="28"/>
      <c r="C88" s="91"/>
    </row>
    <row r="89" spans="1:8" ht="15" customHeight="1" x14ac:dyDescent="0.15">
      <c r="A89" s="5"/>
      <c r="B89" s="111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15">
      <c r="B91" s="1" t="s">
        <v>192</v>
      </c>
      <c r="C91" s="61" t="s">
        <v>210</v>
      </c>
      <c r="D91" s="221" t="s">
        <v>222</v>
      </c>
      <c r="E91" s="221"/>
      <c r="F91" s="29">
        <f>E86*Exchange_Rate/Dashboard!G3</f>
        <v>9.9397301343345928E-2</v>
      </c>
      <c r="H91" s="161"/>
    </row>
    <row r="92" spans="1:8" ht="15" customHeight="1" x14ac:dyDescent="0.15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223</v>
      </c>
      <c r="F92" s="159">
        <f>FV(F91,D92,0,-(E86/C92))</f>
        <v>29.001681606426391</v>
      </c>
      <c r="H92" s="161"/>
    </row>
    <row r="93" spans="1:8" ht="15" customHeight="1" x14ac:dyDescent="0.15">
      <c r="H93" s="24"/>
    </row>
    <row r="94" spans="1:8" ht="15" customHeight="1" x14ac:dyDescent="0.15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224</v>
      </c>
      <c r="E94" s="133" t="s">
        <v>225</v>
      </c>
      <c r="H94" s="24"/>
    </row>
    <row r="95" spans="1:8" ht="15" customHeight="1" x14ac:dyDescent="0.15">
      <c r="B95" s="1" t="s">
        <v>140</v>
      </c>
      <c r="C95" s="95">
        <f>D95*Common_Shares/Data!C4</f>
        <v>11376132.888268054</v>
      </c>
      <c r="D95" s="132">
        <f>PV(C92,D92,0,-F92)*Exchange_Rate</f>
        <v>19.376564098517935</v>
      </c>
      <c r="E95" s="132">
        <f>PV(15%,D92,0,-F92)*Exchange_Rate</f>
        <v>14.418961379243537</v>
      </c>
      <c r="H95" s="24"/>
    </row>
    <row r="96" spans="1:8" ht="15" customHeight="1" x14ac:dyDescent="0.15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2">
      <c r="B97" s="110" t="s">
        <v>158</v>
      </c>
      <c r="C97" s="113">
        <f>(E65+MIN(0,E70))*Exchange_Rate</f>
        <v>1214247.2000000002</v>
      </c>
      <c r="D97" s="162">
        <f>C97*Data!$C$4/Common_Shares</f>
        <v>2.0681842356561919</v>
      </c>
      <c r="E97" s="163"/>
      <c r="F97" s="134" t="s">
        <v>144</v>
      </c>
      <c r="H97" s="24"/>
    </row>
    <row r="98" spans="2:8" ht="15" customHeight="1" thickTop="1" x14ac:dyDescent="0.15">
      <c r="B98" s="1" t="s">
        <v>119</v>
      </c>
      <c r="C98" s="95">
        <f>C95-C96+$C$97</f>
        <v>12590380.088268053</v>
      </c>
      <c r="D98" s="114">
        <f>MAX(C98*Data!$C$4/Common_Shares,0)</f>
        <v>21.444748334174125</v>
      </c>
      <c r="E98" s="114">
        <f>E95*Exchange_Rate-D96+D97</f>
        <v>16.487145614899731</v>
      </c>
      <c r="F98" s="114">
        <f>D98*1.25</f>
        <v>26.805935417717656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15">
      <c r="B101" s="1" t="s">
        <v>176</v>
      </c>
      <c r="C101" s="95">
        <f>D101*Common_Shares/Data!C4</f>
        <v>12476041.812499998</v>
      </c>
      <c r="D101" s="132">
        <f>E87/(C92-D100)*Exchange_Rate</f>
        <v>21.249999999999996</v>
      </c>
      <c r="E101" s="114">
        <f>D101*(1-25%)</f>
        <v>15.937499999999996</v>
      </c>
      <c r="F101" s="114">
        <f>D101*1.25</f>
        <v>26.562499999999996</v>
      </c>
      <c r="H101" s="24"/>
    </row>
    <row r="102" spans="2:8" ht="15" customHeight="1" x14ac:dyDescent="0.15">
      <c r="H102" s="24"/>
    </row>
    <row r="103" spans="2:8" ht="15" customHeight="1" x14ac:dyDescent="0.15">
      <c r="B103" s="10" t="s">
        <v>226</v>
      </c>
      <c r="C103" s="137" t="str">
        <f>C100</f>
        <v>HKD</v>
      </c>
      <c r="D103" s="137" t="s">
        <v>236</v>
      </c>
      <c r="E103" s="133" t="s">
        <v>143</v>
      </c>
      <c r="F103" s="134" t="s">
        <v>144</v>
      </c>
      <c r="H103" s="24"/>
    </row>
    <row r="104" spans="2:8" ht="15" customHeight="1" x14ac:dyDescent="0.15">
      <c r="B104" s="1" t="s">
        <v>227</v>
      </c>
      <c r="C104" s="95">
        <f>D104*Common_Shares/Data!C4</f>
        <v>12533210.950384026</v>
      </c>
      <c r="D104" s="132">
        <f>(D98+D101)/2</f>
        <v>21.347374167087061</v>
      </c>
      <c r="E104" s="114">
        <f>D104*(1-25%)</f>
        <v>16.010530625315297</v>
      </c>
      <c r="F104" s="114">
        <f>D104*1.25</f>
        <v>26.684217708858824</v>
      </c>
    </row>
    <row r="106" spans="2:8" ht="15" customHeight="1" x14ac:dyDescent="0.15">
      <c r="B106" s="10" t="s">
        <v>180</v>
      </c>
      <c r="C106" s="138" t="s">
        <v>237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