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C3E23B7A-54BC-DC43-B768-CDA167B49413}" xr6:coauthVersionLast="47" xr6:coauthVersionMax="47" xr10:uidLastSave="{00000000-0000-0000-0000-000000000000}"/>
  <bookViews>
    <workbookView xWindow="1480" yWindow="1480" windowWidth="12700" windowHeight="764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<sst xmlns="http://schemas.openxmlformats.org/spreadsheetml/2006/main" count="253" uniqueCount="232">
  <si>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</si>
  <si>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</si>
  <si>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</si>
  <si>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</si>
  <si>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</si>
  <si>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</si>
  <si>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</si>
  <si>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</si>
  <si>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</si>
  <si>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</si>
  <si>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</si>
  <si>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</si>
  <si>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</si>
  <si>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</si>
  <si>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</si>
  <si>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</si>
  <si>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</si>
  <si>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</si>
  <si>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</si>
  <si>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</si>
  <si>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</si>
  <si>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</si>
  <si>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</si>
  <si>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</si>
  <si>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</si>
  <si>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</si>
  <si>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</si>
  <si>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</si>
  <si>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</si>
  <si>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</si>
  <si>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</si>
  <si>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</si>
  <si>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</si>
  <si>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</si>
  <si>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</si>
  <si>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</si>
  <si>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</si>
  <si>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</si>
  <si>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</si>
  <si>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</si>
  <si>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</si>
  <si>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</si>
  <si>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</si>
  <si>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</si>
  <si>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</si>
  <si>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</si>
  <si>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</si>
  <si>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</si>
  <si>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</si>
  <si>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</si>
  <si>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</si>
  <si>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</si>
  <si>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</si>
  <si>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</si>
  <si>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</si>
  <si>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</si>
  <si>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</si>
  <si>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</si>
  <si>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</si>
  <si>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</si>
  <si>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</si>
  <si>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</si>
  <si>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</si>
  <si>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</si>
  <si>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</si>
  <si>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</si>
  <si>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</si>
  <si>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</si>
  <si>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</si>
  <si>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</si>
  <si>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</si>
  <si>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</si>
  <si>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</si>
  <si>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</si>
  <si>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</si>
  <si>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</si>
  <si>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</si>
  <si>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</si>
  <si>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</si>
  <si>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</si>
  <si>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</si>
  <si>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</si>
  <si>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</si>
  <si>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</si>
  <si>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</si>
  <si>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</si>
  <si>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</si>
  <si>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</si>
  <si>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</si>
  <si>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</si>
  <si>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</si>
  <si>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</si>
  <si>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</si>
  <si>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</si>
  <si>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</si>
  <si>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</si>
  <si>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</si>
  <si>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</si>
  <si>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</si>
  <si>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</si>
  <si>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</si>
  <si>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</si>
  <si>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</si>
  <si>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</si>
  <si>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</si>
  <si>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</si>
  <si>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</si>
  <si>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</si>
  <si>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</si>
  <si>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</si>
  <si>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</si>
  <si>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</si>
  <si>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</si>
  <si>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</si>
  <si>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</si>
  <si>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</si>
  <si>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</si>
  <si>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</si>
  <si>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</si>
  <si>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</si>
  <si>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</si>
  <si>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</si>
  <si>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</si>
  <si>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</si>
  <si>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</si>
  <si>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</si>
  <si>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</si>
  <si>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</si>
  <si>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</si>
  <si>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</si>
  <si>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</si>
  <si>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</si>
  <si>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</si>
  <si>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</si>
  <si>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</si>
  <si>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</si>
  <si>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</si>
  <si>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</si>
  <si>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</si>
  <si>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</si>
  <si>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</si>
  <si>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</si>
  <si>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</si>
  <si>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</si>
  <si>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</si>
  <si>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</si>
  <si>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</si>
  <si>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</si>
  <si>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</si>
  <si>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</si>
  <si>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</si>
  <si>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</si>
  <si>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</si>
  <si>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</si>
  <si>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</si>
  <si>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</si>
  <si>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</si>
  <si>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</si>
  <si>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</si>
  <si>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</si>
  <si>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</si>
  <si>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</si>
  <si>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</si>
  <si>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</si>
  <si>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</si>
  <si>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</si>
  <si>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</si>
  <si>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</si>
  <si>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</si>
  <si>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</si>
  <si>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</si>
  <si>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</si>
  <si>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</si>
  <si>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</si>
  <si>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</si>
  <si>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</si>
  <si>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</si>
  <si>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</si>
  <si>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</si>
  <si>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</si>
  <si>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</si>
  <si>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</si>
  <si>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</si>
  <si>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</si>
  <si>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</si>
  <si>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</si>
  <si>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</si>
  <si>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</si>
  <si>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</si>
  <si>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</si>
  <si>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</si>
  <si>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</si>
  <si>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</si>
  <si>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</si>
  <si>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</si>
  <si>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</si>
  <si>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</si>
  <si>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</si>
  <si>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</si>
  <si>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</si>
  <si>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</si>
  <si>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</si>
  <si>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</si>
  <si>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</si>
  <si>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</si>
  <si>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</si>
  <si>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</si>
  <si>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</si>
  <si>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</si>
  <si>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</si>
  <si>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</si>
  <si>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</si>
  <si>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</si>
  <si>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</si>
  <si>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</si>
  <si>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</si>
  <si>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</si>
  <si>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</si>
  <si>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</si>
  <si>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</si>
  <si>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</si>
  <si>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</si>
  <si>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</si>
  <si>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</si>
  <si>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</si>
  <si>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</si>
  <si>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</si>
  <si>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</si>
  <si>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0788.HK</t>
  </si>
  <si>
    <t>中国铁塔</t>
  </si>
  <si>
    <t>C0010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</si>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</sst>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1" sqref="D2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0788.HK : 中国铁塔</v>
      </c>
      <c r="D2" s="94"/>
      <c r="E2" s="7"/>
      <c r="F2" s="7"/>
      <c r="G2" s="93"/>
      <c r="H2" s="93"/>
    </row>
    <row r="3" spans="1:10" ht="15.75" customHeight="1" x14ac:dyDescent="0.15">
      <c r="B3" s="3" t="s">
        <v>216</v>
      </c>
      <c r="C3" s="201" t="s">
        <v>228</v>
      </c>
      <c r="D3" s="202"/>
      <c r="E3" s="94"/>
      <c r="F3" s="3" t="s">
        <v>1</v>
      </c>
      <c r="G3" s="169">
        <v>1.0399999618530273</v>
      </c>
      <c r="H3" s="171" t="s">
        <v>2</v>
      </c>
    </row>
    <row r="4" spans="1:10" ht="15.75" customHeight="1" x14ac:dyDescent="0.25">
      <c r="B4" s="35" t="s">
        <v>217</v>
      </c>
      <c r="C4" s="203" t="s">
        <v>229</v>
      </c>
      <c r="D4" s="204"/>
      <c r="E4" s="94"/>
      <c r="F4" s="3" t="s">
        <v>3</v>
      </c>
      <c r="G4" s="207">
        <v>176008471024</v>
      </c>
      <c r="H4" s="207"/>
      <c r="I4" s="39"/>
    </row>
    <row r="5" spans="1:10" ht="15.75" customHeight="1" x14ac:dyDescent="0.15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183048.80315076964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227</v>
      </c>
      <c r="H6" s="200"/>
      <c r="I6" s="38"/>
    </row>
    <row r="7" spans="1:10" ht="15.75" customHeight="1" x14ac:dyDescent="0.15">
      <c r="B7" s="93" t="s">
        <v>214</v>
      </c>
      <c r="C7" s="186" t="s">
        <v>46</v>
      </c>
      <c r="D7" s="192" t="s">
        <v>230</v>
      </c>
      <c r="E7" s="94"/>
      <c r="F7" s="35" t="s">
        <v>6</v>
      </c>
      <c r="G7" s="170">
        <v>1.0866400003433228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7" t="s">
        <v>212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210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211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0.84573817400461659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3.0071588890425386E-2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0</v>
      </c>
      <c r="F23" s="178" t="s">
        <v>209</v>
      </c>
      <c r="G23" s="184">
        <f>G3/(Data!C34*Data!E3/Common_Shares*Exchange_Rate)</f>
        <v>1.3095093931599E-2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5.198008038964997E-2</v>
      </c>
    </row>
    <row r="25" spans="1:8" ht="15.75" customHeight="1" x14ac:dyDescent="0.15">
      <c r="B25" s="174" t="s">
        <v>213</v>
      </c>
      <c r="C25" s="175">
        <f>Fin_Analysis!F82</f>
        <v>0</v>
      </c>
      <c r="F25" s="178" t="s">
        <v>193</v>
      </c>
      <c r="G25" s="175">
        <f>Fin_Analysis!F87</f>
        <v>0.97067227017832514</v>
      </c>
    </row>
    <row r="26" spans="1:8" ht="15.75" customHeight="1" x14ac:dyDescent="0.15">
      <c r="B26" s="176" t="s">
        <v>191</v>
      </c>
      <c r="C26" s="175">
        <f>Fin_Analysis!F83</f>
        <v>0.12419023710495804</v>
      </c>
      <c r="F26" s="180" t="s">
        <v>215</v>
      </c>
      <c r="G26" s="179">
        <f>Fin_Analysis!E87*Exchange_Rate/G3</f>
        <v>5.045562263587338E-2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0.57875565018285724</v>
      </c>
      <c r="D29" s="165">
        <f>IF(Fin_Analysis!C106="Profit",Fin_Analysis!F98,IF(Fin_Analysis!C106="Dividend",Fin_Analysis!F101,Fin_Analysis!F104))</f>
        <v>0.96459275030476199</v>
      </c>
      <c r="E29" s="94"/>
      <c r="F29" s="167">
        <f>IF(Fin_Analysis!C106="Profit",Fin_Analysis!D98,IF(Fin_Analysis!C106="Dividend",Fin_Analysis!D101,Fin_Analysis!D104))</f>
        <v>0.77167420024380962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12" zoomScaleNormal="100" workbookViewId="0">
      <pane xSplit="2" topLeftCell="C1" activePane="topRight" state="frozen"/>
      <selection activeCell="A4" sqref="A4"/>
      <selection pane="topRight" activeCell="C45" sqref="C4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94009</v>
      </c>
      <c r="D6" s="58">
        <v>92170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1.995226212433554E-2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79507</v>
      </c>
      <c r="D8" s="92">
        <v>78858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14502</v>
      </c>
      <c r="D9" s="101">
        <f t="shared" si="2"/>
        <v>13312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14502</v>
      </c>
      <c r="D13" s="101">
        <f t="shared" ref="D13:M13" si="4">IF(D6="","",(D9-D10+D12))</f>
        <v>13312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2827</v>
      </c>
      <c r="D17" s="92">
        <v>3003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11675</v>
      </c>
      <c r="D19" s="95">
        <f>IF(D6="","",D13-D14-MAX(D15,0)-MAX(D16,0)-D17-MAX(D18/(1-Fin_Analysis!$F$84),0))</f>
        <v>10309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0.13250557765059656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9.3142677828718531E-2</v>
      </c>
      <c r="D21" s="56">
        <f t="shared" si="6"/>
        <v>8.3885754583921016E-2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8756.25</v>
      </c>
      <c r="D22" s="95">
        <f>IF(D6="","",D19*(1-Fin_Analysis!$F$84))</f>
        <v>7731.75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0.13250557765059656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8.3811200751407792E-4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0.84573817400461659</v>
      </c>
      <c r="D40" s="61">
        <f t="shared" si="21"/>
        <v>0.8555712270803949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</v>
      </c>
      <c r="D41" s="56">
        <f t="shared" si="22"/>
        <v>0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3.0071588890425386E-2</v>
      </c>
      <c r="D44" s="56">
        <f t="shared" si="25"/>
        <v>3.258110014104372E-2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0.12419023710495804</v>
      </c>
      <c r="D46" s="56">
        <f t="shared" si="26"/>
        <v>0.11184767277856135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2.827101660479316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102.88648959142209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1.2047049014721648E-2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0.24214132762312635</v>
      </c>
      <c r="D53" s="56">
        <f t="shared" si="31"/>
        <v>0.29129886506935687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75" zoomScaleNormal="100" workbookViewId="0">
      <selection activeCell="D109" sqref="D10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4056058.9676495078</v>
      </c>
      <c r="E6" s="56">
        <f>1-D6/D3</f>
        <v>0.68469440851835828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25.041271549925614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1000000CNY)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94009</v>
      </c>
      <c r="D74" s="130"/>
      <c r="E74" s="148">
        <f>C74</f>
        <v>94009</v>
      </c>
      <c r="F74" s="130"/>
    </row>
    <row r="75" spans="1:9" ht="15" customHeight="1" x14ac:dyDescent="0.15">
      <c r="B75" s="117" t="s">
        <v>109</v>
      </c>
      <c r="C75" s="95">
        <f>Data!C8</f>
        <v>79507</v>
      </c>
      <c r="D75" s="131">
        <f>C75/$C$74</f>
        <v>0.84573817400461659</v>
      </c>
      <c r="E75" s="148">
        <f>D75*E74</f>
        <v>79507</v>
      </c>
      <c r="F75" s="149">
        <f>E75/$E$74</f>
        <v>0.84573817400461659</v>
      </c>
    </row>
    <row r="76" spans="1:9" ht="15" customHeight="1" x14ac:dyDescent="0.15">
      <c r="B76" s="35" t="s">
        <v>96</v>
      </c>
      <c r="C76" s="118">
        <f>C74-C75</f>
        <v>14502</v>
      </c>
      <c r="D76" s="132"/>
      <c r="E76" s="150">
        <f>E74-E75</f>
        <v>14502</v>
      </c>
      <c r="F76" s="132"/>
    </row>
    <row r="77" spans="1:9" ht="15" customHeight="1" x14ac:dyDescent="0.15">
      <c r="B77" s="117" t="s">
        <v>133</v>
      </c>
      <c r="C77" s="95">
        <f>Data!C10-Data!C12</f>
        <v>0</v>
      </c>
      <c r="D77" s="131">
        <f>C77/$C$74</f>
        <v>0</v>
      </c>
      <c r="E77" s="148">
        <f>D77*E74</f>
        <v>0</v>
      </c>
      <c r="F77" s="149">
        <f>E77/$E$74</f>
        <v>0</v>
      </c>
    </row>
    <row r="78" spans="1:9" ht="15" customHeight="1" x14ac:dyDescent="0.15">
      <c r="B78" s="35" t="s">
        <v>97</v>
      </c>
      <c r="C78" s="118">
        <f>C76-C77</f>
        <v>14502</v>
      </c>
      <c r="D78" s="132"/>
      <c r="E78" s="150">
        <f>E76-E77</f>
        <v>14502</v>
      </c>
      <c r="F78" s="132"/>
    </row>
    <row r="79" spans="1:9" ht="15" customHeight="1" x14ac:dyDescent="0.15">
      <c r="B79" s="117" t="s">
        <v>129</v>
      </c>
      <c r="C79" s="95">
        <f>Data!C17</f>
        <v>2827</v>
      </c>
      <c r="D79" s="131">
        <f>C79/$C$74</f>
        <v>3.0071588890425386E-2</v>
      </c>
      <c r="E79" s="148">
        <f>C79</f>
        <v>2827</v>
      </c>
      <c r="F79" s="149">
        <f>E79/$E$74</f>
        <v>3.0071588890425386E-2</v>
      </c>
    </row>
    <row r="80" spans="1:9" ht="15" customHeight="1" x14ac:dyDescent="0.15">
      <c r="B80" s="28" t="s">
        <v>135</v>
      </c>
      <c r="C80" s="95">
        <f>Data!C14+MAX(Data!C15,0)</f>
        <v>0</v>
      </c>
      <c r="D80" s="131">
        <f>C80/$C$74</f>
        <v>0</v>
      </c>
      <c r="E80" s="148">
        <v>0</v>
      </c>
      <c r="F80" s="149">
        <f t="shared" ref="F80:F83" si="8">E80/$E$74</f>
        <v>0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11675</v>
      </c>
      <c r="D83" s="133">
        <f>C83/$C$74</f>
        <v>0.12419023710495804</v>
      </c>
      <c r="E83" s="151">
        <f>E78-E79-E80-E81-E82</f>
        <v>11675</v>
      </c>
      <c r="F83" s="135">
        <f t="shared" si="8"/>
        <v>0.12419023710495804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8756.25</v>
      </c>
      <c r="D85" s="135">
        <f>C85/$C$74</f>
        <v>9.3142677828718531E-2</v>
      </c>
      <c r="E85" s="153">
        <f>E83*(1-F84)</f>
        <v>8756.25</v>
      </c>
      <c r="F85" s="135">
        <f>E85/$E$74</f>
        <v>9.3142677828718531E-2</v>
      </c>
    </row>
    <row r="86" spans="1:8" ht="15" customHeight="1" x14ac:dyDescent="0.15">
      <c r="B86" s="94" t="s">
        <v>174</v>
      </c>
      <c r="C86" s="159">
        <f>C85*Data!E3/Common_Shares</f>
        <v>4.9749025993220654E-2</v>
      </c>
      <c r="D86" s="130"/>
      <c r="E86" s="161">
        <f>E85*Data!E3/Common_Shares</f>
        <v>4.9749025993220654E-2</v>
      </c>
      <c r="F86" s="130"/>
    </row>
    <row r="87" spans="1:8" ht="15" customHeight="1" x14ac:dyDescent="0.15">
      <c r="B87" s="93" t="s">
        <v>175</v>
      </c>
      <c r="C87" s="162">
        <f>0.03739+0.0109</f>
        <v>4.829E-2</v>
      </c>
      <c r="D87" s="135">
        <f>C87/C86</f>
        <v>0.97067227017832514</v>
      </c>
      <c r="E87" s="160">
        <f>C87</f>
        <v>4.829E-2</v>
      </c>
      <c r="F87" s="135">
        <f>E87/E86</f>
        <v>0.97067227017832514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226</v>
      </c>
      <c r="D91" s="211" t="s">
        <v>219</v>
      </c>
      <c r="E91" s="211"/>
      <c r="F91" s="29">
        <f>E86*Exchange_Rate/Dashboard!G3</f>
        <v>5.198008038964997E-2</v>
      </c>
      <c r="H91" s="195"/>
    </row>
    <row r="92" spans="1:8" ht="15" customHeight="1" x14ac:dyDescent="0.15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220</v>
      </c>
      <c r="F92" s="193">
        <f>FV(F91,D92,0,-(E86/C92))</f>
        <v>0.72834893932165057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222</v>
      </c>
      <c r="E94" s="155" t="s">
        <v>223</v>
      </c>
      <c r="H94" s="24"/>
    </row>
    <row r="95" spans="1:8" ht="15" customHeight="1" x14ac:dyDescent="0.15">
      <c r="B95" s="1" t="s">
        <v>140</v>
      </c>
      <c r="C95" s="102">
        <f>D95*Common_Shares/Data!E3</f>
        <v>91372.240328767759</v>
      </c>
      <c r="D95" s="154">
        <f>PV(C92,D92,0,-F92)*Exchange_Rate</f>
        <v>0.51913546999853499</v>
      </c>
      <c r="E95" s="154">
        <f>PV(15%,D92,0,-F92)*Exchange_Rate</f>
        <v>0.3934920642604845</v>
      </c>
      <c r="H95" s="24"/>
    </row>
    <row r="96" spans="1:8" ht="15" customHeight="1" x14ac:dyDescent="0.15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1319449.577824879</v>
      </c>
      <c r="D97" s="197">
        <f>C97*Data!$E$3/Common_Shares</f>
        <v>7.496511788031853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1410821.8181536468</v>
      </c>
      <c r="D98" s="124">
        <f>MAX(C98*Data!$E$3/Common_Shares,0)</f>
        <v>8.0156472580303895</v>
      </c>
      <c r="E98" s="124">
        <f>E95*Exchange_Rate-D96+D97</f>
        <v>7.9240960048749605</v>
      </c>
      <c r="F98" s="124">
        <f>D98*1.25</f>
        <v>10.019559072537987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135821.19611358093</v>
      </c>
      <c r="D101" s="154">
        <f>E87/(C92-2%)*Exchange_Rate</f>
        <v>0.77167420024380962</v>
      </c>
      <c r="E101" s="124">
        <f>D101*(1-25%)</f>
        <v>0.57875565018285724</v>
      </c>
      <c r="F101" s="124">
        <f>D101*1.25</f>
        <v>0.96459275030476199</v>
      </c>
      <c r="H101" s="24" t="s">
        <v>221</v>
      </c>
    </row>
    <row r="102" spans="2:8" ht="15" customHeight="1" x14ac:dyDescent="0.15">
      <c r="H102" s="24"/>
    </row>
    <row r="103" spans="2:8" ht="15" customHeight="1" x14ac:dyDescent="0.15">
      <c r="B103" s="10" t="s">
        <v>224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225</v>
      </c>
      <c r="C104" s="102">
        <f>D104*Common_Shares/Data!E3</f>
        <v>773321.50713361392</v>
      </c>
      <c r="D104" s="154">
        <f>(D98+D101)/2</f>
        <v>4.3936607291370997</v>
      </c>
      <c r="E104" s="124">
        <f>D104*(1-25%)</f>
        <v>3.2952455468528248</v>
      </c>
      <c r="F104" s="124">
        <f>D104*1.25</f>
        <v>5.4920759114213746</v>
      </c>
    </row>
    <row r="106" spans="2:8" ht="15" customHeight="1" x14ac:dyDescent="0.15">
      <c r="B106" s="10" t="s">
        <v>180</v>
      </c>
      <c r="C106" s="164" t="s">
        <v>231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