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D6A6280F-6CC0-234A-8188-3EB352D0AF8D}" xr6:coauthVersionLast="47" xr6:coauthVersionMax="47" xr10:uidLastSave="{00000000-0000-0000-0000-000000000000}"/>
  <bookViews>
    <workbookView xWindow="2200" yWindow="2200" windowWidth="12700" windowHeight="764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C42" i="3"/>
  <c r="C40" i="3"/>
  <c r="C38" i="3"/>
  <c r="C31" i="3"/>
  <c r="C30" i="3"/>
  <c r="C17" i="3"/>
  <c r="C15" i="3"/>
  <c r="C13" i="3"/>
  <c r="C11" i="3"/>
  <c r="D36" i="2"/>
  <c r="D27" i="2"/>
  <c r="D16" i="2"/>
  <c r="C16" i="2"/>
  <c r="E87" i="3" l="1"/>
  <c r="C92" i="3"/>
  <c r="D101" i="3" s="1"/>
  <c r="B92" i="3" l="1"/>
  <c r="G26" i="1" l="1"/>
  <c r="D45" i="2"/>
  <c r="C82" i="3"/>
  <c r="E82" i="3" s="1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<sst xmlns="http://schemas.openxmlformats.org/spreadsheetml/2006/main" count="253" uniqueCount="232">
  <si>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</si>
  <si>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</si>
  <si>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</si>
  <si>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</si>
  <si>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</si>
  <si>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</si>
  <si>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</si>
  <si>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</si>
  <si>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</si>
  <si>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</si>
  <si>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</si>
  <si>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</si>
  <si>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</si>
  <si>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</si>
  <si>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</si>
  <si>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</si>
  <si>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</si>
  <si>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</si>
  <si>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</si>
  <si>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</si>
  <si>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</si>
  <si>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</si>
  <si>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</si>
  <si>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</si>
  <si>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</si>
  <si>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</si>
  <si>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</si>
  <si>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</si>
  <si>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</si>
  <si>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</si>
  <si>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</si>
  <si>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</si>
  <si>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</si>
  <si>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</si>
  <si>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</si>
  <si>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</si>
  <si>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</si>
  <si>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</si>
  <si>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</si>
  <si>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</si>
  <si>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</si>
  <si>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</si>
  <si>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</si>
  <si>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</si>
  <si>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</si>
  <si>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</si>
  <si>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</si>
  <si>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</si>
  <si>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</si>
  <si>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</si>
  <si>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</si>
  <si>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</si>
  <si>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</si>
  <si>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</si>
  <si>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</si>
  <si>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</si>
  <si>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</si>
  <si>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</si>
  <si>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</si>
  <si>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</si>
  <si>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</si>
  <si>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</si>
  <si>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</si>
  <si>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</si>
  <si>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</si>
  <si>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</si>
  <si>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</si>
  <si>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</si>
  <si>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</si>
  <si>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</si>
  <si>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</si>
  <si>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</si>
  <si>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</si>
  <si>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</si>
  <si>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</si>
  <si>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</si>
  <si>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</si>
  <si>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</si>
  <si>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</si>
  <si>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</si>
  <si>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</si>
  <si>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</si>
  <si>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</si>
  <si>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</si>
  <si>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</si>
  <si>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</si>
  <si>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</si>
  <si>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</si>
  <si>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</si>
  <si>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</si>
  <si>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</si>
  <si>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</si>
  <si>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</si>
  <si>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</si>
  <si>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</si>
  <si>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</si>
  <si>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</si>
  <si>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</si>
  <si>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</si>
  <si>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</si>
  <si>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</si>
  <si>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</si>
  <si>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</si>
  <si>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</si>
  <si>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</si>
  <si>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</si>
  <si>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</si>
  <si>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</si>
  <si>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</si>
  <si>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</si>
  <si>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</si>
  <si>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</si>
  <si>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</si>
  <si>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</si>
  <si>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</si>
  <si>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</si>
  <si>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</si>
  <si>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</si>
  <si>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</si>
  <si>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</si>
  <si>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</si>
  <si>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</si>
  <si>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</si>
  <si>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</si>
  <si>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</si>
  <si>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</si>
  <si>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</si>
  <si>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</si>
  <si>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</si>
  <si>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</si>
  <si>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</si>
  <si>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</si>
  <si>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</si>
  <si>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</si>
  <si>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</si>
  <si>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</si>
  <si>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</si>
  <si>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</si>
  <si>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</si>
  <si>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</si>
  <si>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</si>
  <si>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</si>
  <si>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</si>
  <si>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</si>
  <si>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</si>
  <si>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</si>
  <si>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</si>
  <si>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</si>
  <si>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</si>
  <si>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</si>
  <si>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</si>
  <si>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</si>
  <si>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</si>
  <si>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</si>
  <si>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</si>
  <si>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</si>
  <si>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</si>
  <si>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</si>
  <si>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</si>
  <si>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</si>
  <si>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</si>
  <si>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</si>
  <si>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</si>
  <si>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</si>
  <si>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</si>
  <si>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</si>
  <si>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</si>
  <si>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</si>
  <si>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</si>
  <si>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</si>
  <si>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</si>
  <si>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</si>
  <si>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</si>
  <si>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</si>
  <si>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</si>
  <si>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</si>
  <si>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</si>
  <si>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</si>
  <si>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</si>
  <si>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</si>
  <si>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</si>
  <si>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</si>
  <si>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</si>
  <si>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</si>
  <si>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</si>
  <si>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</si>
  <si>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</si>
  <si>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</si>
  <si>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</si>
  <si>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</si>
  <si>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</si>
  <si>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</si>
  <si>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</si>
  <si>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</si>
  <si>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</si>
  <si>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</si>
  <si>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</si>
  <si>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</si>
  <si>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</si>
  <si>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</si>
  <si>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</si>
  <si>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</si>
  <si>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</si>
  <si>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</si>
  <si>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</si>
  <si>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</si>
  <si>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</si>
  <si>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</si>
  <si>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</si>
  <si>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</si>
  <si>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</si>
  <si>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</si>
  <si>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</si>
  <si>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</si>
  <si>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</si>
  <si>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</si>
  <si>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</si>
  <si>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</si>
  <si>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</si>
  <si>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</si>
  <si>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</si>
  <si>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</si>
  <si>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</si>
  <si>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</si>
  <si>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</si>
  <si>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</si>
  <si>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</si>
  <si>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</si>
  <si>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</si>
  <si>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0941.HK</t>
  </si>
  <si>
    <t>中国移动</t>
  </si>
  <si>
    <t>C0010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</si>
</sst>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8" sqref="C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0941.HK : 中国移动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229</v>
      </c>
      <c r="D3" s="202"/>
      <c r="E3" s="94"/>
      <c r="F3" s="3" t="s">
        <v>1</v>
      </c>
      <c r="G3" s="169">
        <v>70.800003051757812</v>
      </c>
      <c r="H3" s="171" t="s">
        <v>2</v>
      </c>
    </row>
    <row r="4" spans="1:10" ht="15.75" customHeight="1" x14ac:dyDescent="0.25">
      <c r="B4" s="35" t="s">
        <v>218</v>
      </c>
      <c r="C4" s="203" t="s">
        <v>230</v>
      </c>
      <c r="D4" s="204"/>
      <c r="E4" s="94"/>
      <c r="F4" s="3" t="s">
        <v>3</v>
      </c>
      <c r="G4" s="207">
        <v>21481669957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1520902.2985124541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15">
      <c r="B7" s="93" t="s">
        <v>215</v>
      </c>
      <c r="C7" s="186" t="s">
        <v>46</v>
      </c>
      <c r="D7" s="192" t="s">
        <v>231</v>
      </c>
      <c r="E7" s="94"/>
      <c r="F7" s="35" t="s">
        <v>6</v>
      </c>
      <c r="G7" s="170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0.66167150000644004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3.6955976811858409E-3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0.17959118565275847</v>
      </c>
      <c r="F23" s="178" t="s">
        <v>209</v>
      </c>
      <c r="G23" s="184">
        <f>G3/(Data!C34*Data!E3/Common_Shares*Exchange_Rate)</f>
        <v>1.0113946397269664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8.3762391473042375E-2</v>
      </c>
    </row>
    <row r="25" spans="1:8" ht="15.75" customHeight="1" x14ac:dyDescent="0.15">
      <c r="B25" s="174" t="s">
        <v>214</v>
      </c>
      <c r="C25" s="175">
        <f>Fin_Analysis!F82</f>
        <v>1.6744128904032363E-4</v>
      </c>
      <c r="F25" s="178" t="s">
        <v>193</v>
      </c>
      <c r="G25" s="175">
        <f>Fin_Analysis!F87</f>
        <v>0.83334301427395785</v>
      </c>
    </row>
    <row r="26" spans="1:8" ht="15.75" customHeight="1" x14ac:dyDescent="0.15">
      <c r="B26" s="176" t="s">
        <v>191</v>
      </c>
      <c r="C26" s="175">
        <f>Fin_Analysis!F83</f>
        <v>0.15487427537057533</v>
      </c>
      <c r="F26" s="180" t="s">
        <v>216</v>
      </c>
      <c r="G26" s="179">
        <f>Fin_Analysis!E87*Exchange_Rate/G3</f>
        <v>6.9802803792940404E-2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50.827256635718243</v>
      </c>
      <c r="D29" s="165">
        <f>IF(Fin_Analysis!C106="Profit",Fin_Analysis!F98,IF(Fin_Analysis!C106="Dividend",Fin_Analysis!F101,Fin_Analysis!F104))</f>
        <v>78.10271642326741</v>
      </c>
      <c r="E29" s="94"/>
      <c r="F29" s="167">
        <f>IF(Fin_Analysis!C106="Profit",Fin_Analysis!D98,IF(Fin_Analysis!C106="Dividend",Fin_Analysis!D101,Fin_Analysis!D104))</f>
        <v>62.482173138613931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1" zoomScaleNormal="100" workbookViewId="0">
      <pane xSplit="2" topLeftCell="C1" activePane="topRight" state="frozen"/>
      <selection activeCell="A4" sqref="A4"/>
      <selection pane="topRight" activeCell="E4" sqref="E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1009309</v>
      </c>
      <c r="D6" s="58">
        <v>937259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7.687309484358118E-2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0</v>
      </c>
      <c r="D8" s="92">
        <v>0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1009309</v>
      </c>
      <c r="D9" s="101">
        <f t="shared" si="2"/>
        <v>937259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874963</v>
      </c>
      <c r="D10" s="92">
        <v>808160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0.20522159219822672</v>
      </c>
      <c r="D11" s="97">
        <f t="shared" si="3"/>
        <v>0.21347034277611632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207132</v>
      </c>
      <c r="D12" s="92">
        <v>200077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341478</v>
      </c>
      <c r="D13" s="101">
        <f t="shared" ref="D13:M13" si="4">IF(D6="","",(D9-D10+D12))</f>
        <v>329176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181263</v>
      </c>
      <c r="D15" s="92">
        <v>189588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f>361933-339511</f>
        <v>22422</v>
      </c>
      <c r="D16" s="92">
        <f>344715-321904</f>
        <v>22811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3730</v>
      </c>
      <c r="D17" s="92">
        <v>2330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169</v>
      </c>
      <c r="D18" s="92">
        <v>135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133837.66666666666</v>
      </c>
      <c r="D19" s="95">
        <f>IF(D6="","",D13-D14-MAX(D15,0)-MAX(D16,0)-D17-MAX(D18/(1-Fin_Analysis!$F$84),0))</f>
        <v>114267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0.17127137902164805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9.9452447169300975E-2</v>
      </c>
      <c r="D21" s="56">
        <f t="shared" si="6"/>
        <v>9.1437105431903032E-2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100378.25</v>
      </c>
      <c r="D22" s="95">
        <f>IF(D6="","",D19*(1-Fin_Analysis!$F$84))</f>
        <v>85700.25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0.17127137902164813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2021607</v>
      </c>
      <c r="D25" s="41">
        <f t="shared" si="17"/>
        <v>1992657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534183</v>
      </c>
      <c r="D26" s="92">
        <v>498104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100939</v>
      </c>
      <c r="D27" s="92">
        <f>54881+12342+1205</f>
        <v>68428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12616</v>
      </c>
      <c r="D28" s="92">
        <v>12026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554255</v>
      </c>
      <c r="D29" s="92">
        <v>558565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83483</v>
      </c>
      <c r="D30" s="92">
        <v>88107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33448</v>
      </c>
      <c r="D31" s="92">
        <v>35175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62222</v>
      </c>
      <c r="D32" s="92">
        <v>67759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95670</v>
      </c>
      <c r="D33" s="95">
        <f t="shared" si="18"/>
        <v>102934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1383869</v>
      </c>
      <c r="D34" s="92">
        <v>1345985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4325</v>
      </c>
      <c r="D35" s="92">
        <v>4253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817499</v>
      </c>
      <c r="D36" s="92">
        <f>181715+185621+5628+55387+156018+32020+37213+141559</f>
        <v>795161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1204108</v>
      </c>
      <c r="D37" s="41">
        <f t="shared" ref="D37:M37" si="19">IF(D6="","",D25-D36)</f>
        <v>1197496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0.11115088236824824</v>
      </c>
      <c r="D38" s="104">
        <f t="shared" ref="D38:M38" si="20">IF(D6="","",D19/D37)</f>
        <v>9.5421613099333946E-2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</v>
      </c>
      <c r="D40" s="61">
        <f t="shared" si="21"/>
        <v>0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0.66167150000644004</v>
      </c>
      <c r="D41" s="56">
        <f t="shared" si="22"/>
        <v>0.64878864860193397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0.17959118565275847</v>
      </c>
      <c r="D42" s="56">
        <f t="shared" si="23"/>
        <v>0.20227919923948451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2.2215198715160572E-2</v>
      </c>
      <c r="D43" s="56">
        <f t="shared" si="24"/>
        <v>2.4337989819249534E-2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3.6955976811858409E-3</v>
      </c>
      <c r="D44" s="56">
        <f t="shared" si="25"/>
        <v>2.4859723939700765E-3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2.2325505205376484E-4</v>
      </c>
      <c r="D45" s="56">
        <f>IF(D6="","",MAX(D18,0)/(1-Fin_Analysis!$F$84)/D6)</f>
        <v>1.9204936949125055E-4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0.13260326289240129</v>
      </c>
      <c r="D46" s="56">
        <f t="shared" si="26"/>
        <v>0.1219161405758707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0.10000802529255164</v>
      </c>
      <c r="D48" s="61">
        <f t="shared" si="27"/>
        <v>7.3008634753040522E-2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1.2499640843388893E-2</v>
      </c>
      <c r="D49" s="56">
        <f t="shared" si="28"/>
        <v>1.2831031763898772E-2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0.31546091797268211</v>
      </c>
      <c r="D51" s="61">
        <f t="shared" ref="D51:M51" si="29">IF(D34="","",(D25-D34)/D25)</f>
        <v>0.32452750272625946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1.398951256053796</v>
      </c>
      <c r="D52" s="60">
        <f t="shared" si="30"/>
        <v>1.1100996755202364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2.7869583301163351E-2</v>
      </c>
      <c r="D53" s="56">
        <f t="shared" si="31"/>
        <v>2.0390838999886231E-2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0.96378562214143304</v>
      </c>
      <c r="D54" s="62">
        <f t="shared" si="32"/>
        <v>0.89175655474295745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">
    <cfRule type="containsBlanks" dxfId="7" priority="3">
      <formula>LEN(TRIM(C6))=0</formula>
    </cfRule>
  </conditionalFormatting>
  <conditionalFormatting sqref="C23:M23">
    <cfRule type="containsBlanks" dxfId="6" priority="5">
      <formula>LEN(TRIM(C23))=0</formula>
    </cfRule>
  </conditionalFormatting>
  <conditionalFormatting sqref="C25:M38">
    <cfRule type="containsBlanks" dxfId="5" priority="1">
      <formula>LEN(TRIM(C25))=0</formula>
    </cfRule>
  </conditionalFormatting>
  <conditionalFormatting sqref="D22:M22">
    <cfRule type="containsBlanks" dxfId="4" priority="4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67" zoomScaleNormal="100" workbookViewId="0">
      <selection activeCell="D99" sqref="D9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1383869</v>
      </c>
      <c r="E3" s="73" t="str">
        <f>IF((C49-I49)=D3,"", "Error!")</f>
        <v/>
      </c>
      <c r="F3" s="94"/>
      <c r="G3" s="94"/>
      <c r="H3" s="47" t="s">
        <v>24</v>
      </c>
      <c r="I3" s="59">
        <v>1379544</v>
      </c>
      <c r="K3" s="24"/>
    </row>
    <row r="4" spans="1:11" ht="15" customHeight="1" x14ac:dyDescent="0.15">
      <c r="B4" s="3" t="s">
        <v>25</v>
      </c>
      <c r="C4" s="94"/>
      <c r="D4" s="69">
        <f>D3-I3</f>
        <v>4325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0.96378562214143304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-77468.882141904527</v>
      </c>
      <c r="E6" s="56">
        <f>1-D6/D3</f>
        <v>1.0559799245029007</v>
      </c>
      <c r="F6" s="94"/>
      <c r="G6" s="94"/>
      <c r="H6" s="1" t="s">
        <v>30</v>
      </c>
      <c r="I6" s="67">
        <f>(C24+C25)/I28</f>
        <v>0.9401087946883655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0.81220016057590816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f>40818+132073</f>
        <v>172891</v>
      </c>
      <c r="D11" s="64">
        <v>1</v>
      </c>
      <c r="E11" s="95">
        <f t="shared" ref="E11:E21" si="0">C11*D11</f>
        <v>172891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33448</v>
      </c>
      <c r="J12" s="94"/>
      <c r="K12" s="24"/>
    </row>
    <row r="13" spans="1:11" ht="14" x14ac:dyDescent="0.15">
      <c r="B13" s="3" t="s">
        <v>121</v>
      </c>
      <c r="C13" s="63">
        <f>84342+15901+696</f>
        <v>100939</v>
      </c>
      <c r="D13" s="64">
        <v>0.8</v>
      </c>
      <c r="E13" s="95">
        <f t="shared" si="0"/>
        <v>80751.200000000012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176336</v>
      </c>
      <c r="D14" s="64">
        <v>0.3</v>
      </c>
      <c r="E14" s="95">
        <f>C14*D14</f>
        <v>52900.799999999996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>
        <f>19344</f>
        <v>19344</v>
      </c>
      <c r="D15" s="64">
        <v>0.05</v>
      </c>
      <c r="E15" s="95">
        <f>C15*D15</f>
        <v>967.2</v>
      </c>
      <c r="F15" s="127"/>
      <c r="G15" s="94"/>
      <c r="H15" s="1" t="s">
        <v>54</v>
      </c>
      <c r="I15" s="91">
        <f>SUM(I11:I14)</f>
        <v>33448</v>
      </c>
      <c r="J15" s="94"/>
    </row>
    <row r="16" spans="1:11" ht="14" x14ac:dyDescent="0.15">
      <c r="B16" s="1" t="s">
        <v>172</v>
      </c>
      <c r="C16" s="63">
        <v>22728</v>
      </c>
      <c r="D16" s="64">
        <v>0.5</v>
      </c>
      <c r="E16" s="95">
        <f t="shared" si="0"/>
        <v>11364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f>20726+8096</f>
        <v>28822</v>
      </c>
      <c r="D17" s="64">
        <v>0.1</v>
      </c>
      <c r="E17" s="95">
        <f t="shared" si="0"/>
        <v>2882.2000000000003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12616</v>
      </c>
      <c r="D18" s="64">
        <v>0.5</v>
      </c>
      <c r="E18" s="95">
        <f t="shared" si="0"/>
        <v>6308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507</v>
      </c>
      <c r="D21" s="64">
        <v>0.95</v>
      </c>
      <c r="E21" s="95">
        <f t="shared" si="0"/>
        <v>481.65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520807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450166</v>
      </c>
      <c r="D24" s="66">
        <f>IF(E24=0,0,E24/C24)</f>
        <v>0.68095546976004406</v>
      </c>
      <c r="E24" s="95">
        <f>SUM(E11:E14)</f>
        <v>306543</v>
      </c>
      <c r="F24" s="129">
        <f>E24/$E$28</f>
        <v>0.93302902287213607</v>
      </c>
      <c r="G24" s="94"/>
    </row>
    <row r="25" spans="2:10" ht="15" customHeight="1" x14ac:dyDescent="0.15">
      <c r="B25" s="23" t="s">
        <v>55</v>
      </c>
      <c r="C25" s="65">
        <f>SUM(C15:C17)</f>
        <v>70894</v>
      </c>
      <c r="D25" s="66">
        <f>IF(E25=0,0,E25/C25)</f>
        <v>0.21459361864191612</v>
      </c>
      <c r="E25" s="95">
        <f>SUM(E15:E17)</f>
        <v>15213.400000000001</v>
      </c>
      <c r="F25" s="129">
        <f t="shared" ref="F25:F27" si="2">E25/$E$28</f>
        <v>4.6305228749516238E-2</v>
      </c>
      <c r="G25" s="94"/>
      <c r="H25" s="23" t="s">
        <v>56</v>
      </c>
      <c r="I25" s="67">
        <f>E28/I28</f>
        <v>0.59277056589475974</v>
      </c>
    </row>
    <row r="26" spans="2:10" ht="15" customHeight="1" x14ac:dyDescent="0.15">
      <c r="B26" s="23" t="s">
        <v>57</v>
      </c>
      <c r="C26" s="65">
        <f>C18+C19+C20</f>
        <v>12616</v>
      </c>
      <c r="D26" s="66">
        <f t="shared" ref="D26:D27" si="3">IF(E26=0,0,E26/C26)</f>
        <v>0.5</v>
      </c>
      <c r="E26" s="95">
        <f>E18+E19+E20</f>
        <v>6308</v>
      </c>
      <c r="F26" s="129">
        <f t="shared" si="2"/>
        <v>1.9199743841084072E-2</v>
      </c>
      <c r="G26" s="94"/>
      <c r="H26" s="23" t="s">
        <v>58</v>
      </c>
      <c r="I26" s="67">
        <f>E24/($I$28-I22)</f>
        <v>9.164763214541976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507</v>
      </c>
      <c r="D27" s="66">
        <f t="shared" si="3"/>
        <v>0.95</v>
      </c>
      <c r="E27" s="95">
        <f>E21+E22</f>
        <v>481.65</v>
      </c>
      <c r="F27" s="129">
        <f t="shared" si="2"/>
        <v>1.4660045372634975E-3</v>
      </c>
      <c r="G27" s="94"/>
      <c r="H27" s="23" t="s">
        <v>60</v>
      </c>
      <c r="I27" s="67">
        <f>(E25+E24)/$I$28</f>
        <v>0.58052051853388786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534183</v>
      </c>
      <c r="D28" s="61">
        <f t="shared" ref="D28" si="4">E28/C28</f>
        <v>0.61504400177467278</v>
      </c>
      <c r="E28" s="76">
        <f>SUM(E24:E27)</f>
        <v>328546.05000000005</v>
      </c>
      <c r="F28" s="127"/>
      <c r="G28" s="94"/>
      <c r="H28" s="85" t="s">
        <v>16</v>
      </c>
      <c r="I28" s="72">
        <v>554255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f>75495</f>
        <v>75495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f>6083+176712</f>
        <v>182795</v>
      </c>
      <c r="D31" s="64">
        <v>0.5</v>
      </c>
      <c r="E31" s="95">
        <f t="shared" ref="E31:E42" si="5">C31*D31</f>
        <v>91397.5</v>
      </c>
      <c r="F31" s="127"/>
      <c r="G31" s="94"/>
      <c r="H31" s="3" t="s">
        <v>64</v>
      </c>
      <c r="I31" s="63">
        <v>62222</v>
      </c>
      <c r="J31" s="94"/>
    </row>
    <row r="32" spans="2:10" ht="15" customHeight="1" x14ac:dyDescent="0.15">
      <c r="B32" s="3" t="s">
        <v>65</v>
      </c>
      <c r="C32" s="63">
        <v>5625</v>
      </c>
      <c r="D32" s="64">
        <v>0.4</v>
      </c>
      <c r="E32" s="95">
        <f t="shared" si="5"/>
        <v>2250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62222</v>
      </c>
      <c r="J34" s="94"/>
    </row>
    <row r="35" spans="2:10" ht="14" x14ac:dyDescent="0.15">
      <c r="B35" s="3" t="s">
        <v>70</v>
      </c>
      <c r="C35" s="63">
        <v>185013</v>
      </c>
      <c r="D35" s="64">
        <v>0.1</v>
      </c>
      <c r="E35" s="95">
        <f t="shared" si="5"/>
        <v>18501.3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94862</v>
      </c>
      <c r="D37" s="64">
        <v>0.05</v>
      </c>
      <c r="E37" s="95">
        <f>C37*D37</f>
        <v>4743.1000000000004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f>680172+86890+14650</f>
        <v>781712</v>
      </c>
      <c r="D38" s="64">
        <v>0.1</v>
      </c>
      <c r="E38" s="95">
        <f>C38*D38</f>
        <v>78171.199999999997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f>2319+31972</f>
        <v>34291</v>
      </c>
      <c r="D40" s="64">
        <v>0.05</v>
      </c>
      <c r="E40" s="95">
        <f t="shared" si="5"/>
        <v>1714.5500000000002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47891</v>
      </c>
      <c r="D41" s="64">
        <v>0.95</v>
      </c>
      <c r="E41" s="95">
        <f t="shared" si="5"/>
        <v>45496.45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f>35301+44439</f>
        <v>79740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21261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258290</v>
      </c>
      <c r="D44" s="66">
        <f>IF(E44=0,0,E44/C44)</f>
        <v>0.3538561307057958</v>
      </c>
      <c r="E44" s="95">
        <f>SUM(E30:E31)</f>
        <v>91397.5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190638</v>
      </c>
      <c r="D45" s="66">
        <f>IF(E45=0,0,E45/C45)</f>
        <v>0.10885185534888112</v>
      </c>
      <c r="E45" s="95">
        <f>SUM(E32:E35)</f>
        <v>20751.3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876574</v>
      </c>
      <c r="D46" s="66">
        <f t="shared" ref="D46:D47" si="6">IF(E46=0,0,E46/C46)</f>
        <v>9.4589047815700669E-2</v>
      </c>
      <c r="E46" s="95">
        <f>E36+E37+E38+E39</f>
        <v>82914.3</v>
      </c>
      <c r="F46" s="94"/>
      <c r="G46" s="94"/>
      <c r="H46" s="23" t="s">
        <v>81</v>
      </c>
      <c r="I46" s="67">
        <f>(E44+E24)/E64</f>
        <v>4.1595118636981292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161922</v>
      </c>
      <c r="D47" s="66">
        <f t="shared" si="6"/>
        <v>0.29156630970467262</v>
      </c>
      <c r="E47" s="95">
        <f>E40+E41+E42</f>
        <v>47211</v>
      </c>
      <c r="F47" s="94"/>
      <c r="G47" s="94"/>
      <c r="H47" s="23" t="s">
        <v>83</v>
      </c>
      <c r="I47" s="67">
        <f>(E44+E45+E24+E25)/$I$49</f>
        <v>0.68038159871295112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1487424</v>
      </c>
      <c r="D48" s="89">
        <f>E48/C48</f>
        <v>0.16288166655909814</v>
      </c>
      <c r="E48" s="83">
        <f>SUM(E30:E42)</f>
        <v>242274.09999999998</v>
      </c>
      <c r="F48" s="94"/>
      <c r="G48" s="94"/>
      <c r="H48" s="87" t="s">
        <v>85</v>
      </c>
      <c r="I48" s="90">
        <v>83483</v>
      </c>
      <c r="J48" s="8"/>
    </row>
    <row r="49" spans="2:10" ht="15" customHeight="1" thickTop="1" x14ac:dyDescent="0.15">
      <c r="B49" s="3" t="s">
        <v>14</v>
      </c>
      <c r="C49" s="65">
        <f>C28+C48</f>
        <v>2021607</v>
      </c>
      <c r="D49" s="56">
        <f>E49/C49</f>
        <v>0.28235960302867968</v>
      </c>
      <c r="E49" s="95">
        <f>E28+E48</f>
        <v>570820.15</v>
      </c>
      <c r="F49" s="94"/>
      <c r="G49" s="94"/>
      <c r="H49" s="3" t="s">
        <v>86</v>
      </c>
      <c r="I49" s="52">
        <f>I28+I48</f>
        <v>637738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4325</v>
      </c>
      <c r="D53" s="29">
        <f>IF(E53=0, 0,E53/C53)</f>
        <v>1.0113946397269664</v>
      </c>
      <c r="E53" s="95">
        <f>MAX(C53,C53*Dashboard!G23)</f>
        <v>4374.2818168191297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95670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569113</v>
      </c>
      <c r="D61" s="56">
        <f t="shared" ref="D61:D70" si="7">IF(E61=0,0,E61/C61)</f>
        <v>0.29171148787674855</v>
      </c>
      <c r="E61" s="52">
        <f>E14+E15+(E19*G19)+(E20*G20)+E31+E32+(E35*G35)+(E36*G36)+(E37*G37)</f>
        <v>166016.79999999999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248386</v>
      </c>
      <c r="D62" s="122">
        <f t="shared" si="7"/>
        <v>0.69605774882642335</v>
      </c>
      <c r="E62" s="142">
        <f>E11+E30</f>
        <v>172891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817499</v>
      </c>
      <c r="D63" s="29">
        <f t="shared" si="7"/>
        <v>0.41456662332308664</v>
      </c>
      <c r="E63" s="65">
        <f>E61+E62</f>
        <v>338907.8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95670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721829</v>
      </c>
      <c r="D65" s="29">
        <f t="shared" si="7"/>
        <v>0.33697426952920984</v>
      </c>
      <c r="E65" s="65">
        <f>E63-E64</f>
        <v>243237.8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1204108</v>
      </c>
      <c r="D68" s="29">
        <f t="shared" si="7"/>
        <v>0.19260095439943928</v>
      </c>
      <c r="E68" s="74">
        <f>E49-E63</f>
        <v>231912.35000000003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542068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662040</v>
      </c>
      <c r="D70" s="29">
        <f t="shared" si="7"/>
        <v>-0.46848475922904953</v>
      </c>
      <c r="E70" s="74">
        <f>E68-E69</f>
        <v>-310155.64999999997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1009309</v>
      </c>
      <c r="D74" s="130"/>
      <c r="E74" s="148">
        <f>C74</f>
        <v>1009309</v>
      </c>
      <c r="F74" s="130"/>
    </row>
    <row r="75" spans="1:9" ht="15" customHeight="1" x14ac:dyDescent="0.15">
      <c r="B75" s="117" t="s">
        <v>109</v>
      </c>
      <c r="C75" s="95">
        <f>Data!C8</f>
        <v>0</v>
      </c>
      <c r="D75" s="131">
        <f>C75/$C$74</f>
        <v>0</v>
      </c>
      <c r="E75" s="148">
        <f>D75*E74</f>
        <v>0</v>
      </c>
      <c r="F75" s="149">
        <f>E75/$E$74</f>
        <v>0</v>
      </c>
    </row>
    <row r="76" spans="1:9" ht="15" customHeight="1" x14ac:dyDescent="0.15">
      <c r="B76" s="35" t="s">
        <v>96</v>
      </c>
      <c r="C76" s="118">
        <f>C74-C75</f>
        <v>1009309</v>
      </c>
      <c r="D76" s="132"/>
      <c r="E76" s="150">
        <f>E74-E75</f>
        <v>1009309</v>
      </c>
      <c r="F76" s="132"/>
    </row>
    <row r="77" spans="1:9" ht="15" customHeight="1" x14ac:dyDescent="0.15">
      <c r="B77" s="117" t="s">
        <v>133</v>
      </c>
      <c r="C77" s="95">
        <f>Data!C10-Data!C12</f>
        <v>667831</v>
      </c>
      <c r="D77" s="131">
        <f>C77/$C$74</f>
        <v>0.66167150000644004</v>
      </c>
      <c r="E77" s="148">
        <f>D77*E74</f>
        <v>667831</v>
      </c>
      <c r="F77" s="149">
        <f>E77/$E$74</f>
        <v>0.66167150000644004</v>
      </c>
    </row>
    <row r="78" spans="1:9" ht="15" customHeight="1" x14ac:dyDescent="0.15">
      <c r="B78" s="35" t="s">
        <v>97</v>
      </c>
      <c r="C78" s="118">
        <f>C76-C77</f>
        <v>341478</v>
      </c>
      <c r="D78" s="132"/>
      <c r="E78" s="150">
        <f>E76-E77</f>
        <v>341478</v>
      </c>
      <c r="F78" s="132"/>
    </row>
    <row r="79" spans="1:9" ht="15" customHeight="1" x14ac:dyDescent="0.15">
      <c r="B79" s="117" t="s">
        <v>129</v>
      </c>
      <c r="C79" s="95">
        <f>Data!C17</f>
        <v>3730</v>
      </c>
      <c r="D79" s="131">
        <f>C79/$C$74</f>
        <v>3.6955976811858409E-3</v>
      </c>
      <c r="E79" s="148">
        <f>C79</f>
        <v>3730</v>
      </c>
      <c r="F79" s="149">
        <f>E79/$E$74</f>
        <v>3.6955976811858409E-3</v>
      </c>
    </row>
    <row r="80" spans="1:9" ht="15" customHeight="1" x14ac:dyDescent="0.15">
      <c r="B80" s="28" t="s">
        <v>135</v>
      </c>
      <c r="C80" s="95">
        <f>Data!C14+MAX(Data!C15,0)</f>
        <v>181263</v>
      </c>
      <c r="D80" s="131">
        <f>C80/$C$74</f>
        <v>0.17959118565275847</v>
      </c>
      <c r="E80" s="148">
        <f>D80*E74</f>
        <v>181263</v>
      </c>
      <c r="F80" s="149">
        <f t="shared" ref="F80:F83" si="8">E80/$E$74</f>
        <v>0.17959118565275847</v>
      </c>
    </row>
    <row r="81" spans="1:8" ht="15" customHeight="1" x14ac:dyDescent="0.15">
      <c r="B81" s="28" t="s">
        <v>113</v>
      </c>
      <c r="C81" s="95">
        <f>MAX(Data!C16,0)</f>
        <v>22422</v>
      </c>
      <c r="D81" s="131">
        <f>C81/$C$74</f>
        <v>2.2215198715160572E-2</v>
      </c>
      <c r="E81" s="148"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169</v>
      </c>
      <c r="D82" s="131">
        <f>C82/$C$74</f>
        <v>1.6744128904032363E-4</v>
      </c>
      <c r="E82" s="148">
        <f>C82</f>
        <v>169</v>
      </c>
      <c r="F82" s="149">
        <f t="shared" si="8"/>
        <v>1.6744128904032363E-4</v>
      </c>
    </row>
    <row r="83" spans="1:8" ht="15" customHeight="1" thickBot="1" x14ac:dyDescent="0.2">
      <c r="B83" s="119" t="s">
        <v>134</v>
      </c>
      <c r="C83" s="100">
        <f>C78-C79-C80-C81-C82</f>
        <v>133894</v>
      </c>
      <c r="D83" s="133">
        <f>C83/$C$74</f>
        <v>0.13265907665541474</v>
      </c>
      <c r="E83" s="151">
        <f>E78-E79-E80-E81-E82</f>
        <v>156316</v>
      </c>
      <c r="F83" s="135">
        <f t="shared" si="8"/>
        <v>0.15487427537057533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100420.5</v>
      </c>
      <c r="D85" s="135">
        <f>C85/$C$74</f>
        <v>9.949430749156106E-2</v>
      </c>
      <c r="E85" s="153">
        <f>E83*(1-F84)</f>
        <v>117237</v>
      </c>
      <c r="F85" s="135">
        <f>E85/$E$74</f>
        <v>0.11615570652793149</v>
      </c>
    </row>
    <row r="86" spans="1:8" ht="15" customHeight="1" x14ac:dyDescent="0.15">
      <c r="B86" s="94" t="s">
        <v>174</v>
      </c>
      <c r="C86" s="159">
        <f>C85*Data!E3/Common_Shares</f>
        <v>4.6747063985720096</v>
      </c>
      <c r="D86" s="130"/>
      <c r="E86" s="161">
        <f>E85*Data!E3/Common_Shares</f>
        <v>5.4575365990946736</v>
      </c>
      <c r="F86" s="130"/>
    </row>
    <row r="87" spans="1:8" ht="15" customHeight="1" x14ac:dyDescent="0.15">
      <c r="B87" s="93" t="s">
        <v>175</v>
      </c>
      <c r="C87" s="162">
        <f>2.175+2.373</f>
        <v>4.548</v>
      </c>
      <c r="D87" s="135">
        <f>C87/C86</f>
        <v>0.972895324803561</v>
      </c>
      <c r="E87" s="160">
        <f>C87</f>
        <v>4.548</v>
      </c>
      <c r="F87" s="135">
        <f>E87/E86</f>
        <v>0.83334301427395785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8.3762391473042375E-2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92.72233617987601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15">
      <c r="B95" s="1" t="s">
        <v>140</v>
      </c>
      <c r="C95" s="102">
        <f>D95*Common_Shares/Data!E3</f>
        <v>1419690.3037017398</v>
      </c>
      <c r="D95" s="154">
        <f>PV(C92,D92,0,-F92)*Exchange_Rate</f>
        <v>66.088451528374804</v>
      </c>
      <c r="E95" s="154">
        <f>PV(15%,D92,0,-F92)*Exchange_Rate</f>
        <v>50.093439417176711</v>
      </c>
      <c r="H95" s="24"/>
    </row>
    <row r="96" spans="1:8" ht="15" customHeight="1" x14ac:dyDescent="0.15">
      <c r="B96" s="28" t="s">
        <v>157</v>
      </c>
      <c r="C96" s="102">
        <f>E53*Exchange_Rate</f>
        <v>4753.2695949301296</v>
      </c>
      <c r="D96" s="154">
        <f>C96*Data!$E$3/Common_Shares</f>
        <v>0.22127095353595791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-72715.6125469744</v>
      </c>
      <c r="D97" s="197">
        <f>C97*Data!$E$3/Common_Shares</f>
        <v>-3.385007436224917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1342221.4215598353</v>
      </c>
      <c r="D98" s="124">
        <f>MAX(C98*Data!$E$3/Common_Shares,0)</f>
        <v>62.482173138613931</v>
      </c>
      <c r="E98" s="124">
        <f>E95*Exchange_Rate-D96+D97</f>
        <v>50.827256635718243</v>
      </c>
      <c r="F98" s="124">
        <f>D98*1.25</f>
        <v>78.10271642326741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1561224.1872249544</v>
      </c>
      <c r="D101" s="154">
        <f>E87/(C92-2%)*Exchange_Rate</f>
        <v>72.677040022962231</v>
      </c>
      <c r="E101" s="124">
        <f>D101*(1-25%)</f>
        <v>54.507780017221677</v>
      </c>
      <c r="F101" s="124">
        <f>D101*1.25</f>
        <v>90.846300028702785</v>
      </c>
      <c r="H101" s="24" t="s">
        <v>222</v>
      </c>
    </row>
    <row r="102" spans="2:8" ht="15" customHeight="1" x14ac:dyDescent="0.15">
      <c r="H102" s="24"/>
    </row>
    <row r="103" spans="2:8" ht="15" customHeight="1" x14ac:dyDescent="0.15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226</v>
      </c>
      <c r="C104" s="102">
        <f>D104*Common_Shares/Data!E3</f>
        <v>1451722.8043923948</v>
      </c>
      <c r="D104" s="154">
        <f>(D98+D101)/2</f>
        <v>67.579606580788081</v>
      </c>
      <c r="E104" s="124">
        <f>D104*(1-25%)</f>
        <v>50.684704935591057</v>
      </c>
      <c r="F104" s="124">
        <f>D104*1.25</f>
        <v>84.474508225985105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