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opportunities/"/>
    </mc:Choice>
  </mc:AlternateContent>
  <xr:revisionPtr revIDLastSave="0" documentId="8_{A525B535-7C08-964F-A225-A39443368E01}" xr6:coauthVersionLast="47" xr6:coauthVersionMax="47" xr10:uidLastSave="{00000000-0000-0000-0000-000000000000}"/>
  <bookViews>
    <workbookView xWindow="740" yWindow="740" windowWidth="12700" windowHeight="7640" activeTab="1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 calcOnSave="0" concurrentManualCount="16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D10" i="2" l="1"/>
  <c r="D8" i="2"/>
  <c r="C10" i="2"/>
  <c r="C8" i="2"/>
  <c r="C7" i="2"/>
  <c r="E87" i="3" l="1"/>
  <c r="C92" i="3"/>
  <c r="D101" i="3" l="1"/>
  <c r="B92" i="3"/>
  <c r="G26" i="1" l="1"/>
  <c r="D45" i="2"/>
  <c r="C82" i="3"/>
  <c r="E42" i="2"/>
  <c r="C94" i="3"/>
  <c r="C100" i="3" s="1"/>
  <c r="C103" i="3" s="1"/>
  <c r="B94" i="3"/>
  <c r="C81" i="3"/>
  <c r="C80" i="3"/>
  <c r="E45" i="2"/>
  <c r="F45" i="2"/>
  <c r="G45" i="2"/>
  <c r="H45" i="2"/>
  <c r="I45" i="2"/>
  <c r="J45" i="2"/>
  <c r="K45" i="2"/>
  <c r="L45" i="2"/>
  <c r="M45" i="2"/>
  <c r="K19" i="2"/>
  <c r="L19" i="2"/>
  <c r="M19" i="2"/>
  <c r="G33" i="3"/>
  <c r="C43" i="2"/>
  <c r="K38" i="2"/>
  <c r="L38" i="2"/>
  <c r="M38" i="2"/>
  <c r="C27" i="2"/>
  <c r="C48" i="2" s="1"/>
  <c r="D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C42" i="2"/>
  <c r="D48" i="2"/>
  <c r="I34" i="3"/>
  <c r="I51" i="2"/>
  <c r="J51" i="2"/>
  <c r="K51" i="2"/>
  <c r="L51" i="2"/>
  <c r="M51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C28" i="2"/>
  <c r="C49" i="2" s="1"/>
  <c r="E9" i="3"/>
  <c r="E6" i="1" s="1"/>
  <c r="F101" i="3" l="1"/>
  <c r="C45" i="2"/>
  <c r="E101" i="3"/>
  <c r="C101" i="3"/>
  <c r="I15" i="3"/>
  <c r="D56" i="3" s="1"/>
  <c r="K37" i="2"/>
  <c r="L37" i="2"/>
  <c r="M37" i="2"/>
  <c r="C62" i="3"/>
  <c r="C24" i="2" l="1"/>
  <c r="B73" i="3"/>
  <c r="C74" i="3"/>
  <c r="E74" i="3" s="1"/>
  <c r="E80" i="3" s="1"/>
  <c r="C75" i="3"/>
  <c r="C77" i="3"/>
  <c r="C79" i="3"/>
  <c r="E79" i="3" s="1"/>
  <c r="E81" i="3"/>
  <c r="K22" i="2"/>
  <c r="L22" i="2"/>
  <c r="M22" i="2"/>
  <c r="F3" i="2"/>
  <c r="K46" i="2"/>
  <c r="L46" i="2"/>
  <c r="M46" i="2"/>
  <c r="D44" i="2"/>
  <c r="E44" i="2"/>
  <c r="F44" i="2"/>
  <c r="G44" i="2"/>
  <c r="H44" i="2"/>
  <c r="I44" i="2"/>
  <c r="J44" i="2"/>
  <c r="K44" i="2"/>
  <c r="L44" i="2"/>
  <c r="M44" i="2"/>
  <c r="C44" i="2"/>
  <c r="D41" i="2"/>
  <c r="E41" i="2"/>
  <c r="F41" i="2"/>
  <c r="G41" i="2"/>
  <c r="H41" i="2"/>
  <c r="I41" i="2"/>
  <c r="J41" i="2"/>
  <c r="K41" i="2"/>
  <c r="L41" i="2"/>
  <c r="M41" i="2"/>
  <c r="D40" i="2"/>
  <c r="E40" i="2"/>
  <c r="F40" i="2"/>
  <c r="G40" i="2"/>
  <c r="H40" i="2"/>
  <c r="I40" i="2"/>
  <c r="J40" i="2"/>
  <c r="K40" i="2"/>
  <c r="L40" i="2"/>
  <c r="M40" i="2"/>
  <c r="C40" i="2"/>
  <c r="K13" i="2"/>
  <c r="L13" i="2"/>
  <c r="M13" i="2"/>
  <c r="M7" i="2"/>
  <c r="D54" i="2"/>
  <c r="E54" i="2"/>
  <c r="F54" i="2"/>
  <c r="G54" i="2"/>
  <c r="H54" i="2"/>
  <c r="I54" i="2"/>
  <c r="J54" i="2"/>
  <c r="K54" i="2"/>
  <c r="L54" i="2"/>
  <c r="M54" i="2"/>
  <c r="D25" i="2"/>
  <c r="E25" i="2"/>
  <c r="E51" i="2" s="1"/>
  <c r="F25" i="2"/>
  <c r="F51" i="2" s="1"/>
  <c r="G25" i="2"/>
  <c r="G51" i="2" s="1"/>
  <c r="H25" i="2"/>
  <c r="I25" i="2"/>
  <c r="I37" i="2" s="1"/>
  <c r="J25" i="2"/>
  <c r="J37" i="2" s="1"/>
  <c r="K25" i="2"/>
  <c r="L25" i="2"/>
  <c r="M25" i="2"/>
  <c r="C29" i="2"/>
  <c r="C30" i="2"/>
  <c r="C25" i="3"/>
  <c r="M23" i="2"/>
  <c r="K21" i="2"/>
  <c r="L21" i="2"/>
  <c r="M21" i="2"/>
  <c r="D11" i="2"/>
  <c r="E11" i="2"/>
  <c r="F11" i="2"/>
  <c r="G11" i="2"/>
  <c r="H11" i="2"/>
  <c r="I11" i="2"/>
  <c r="J11" i="2"/>
  <c r="K11" i="2"/>
  <c r="L11" i="2"/>
  <c r="M11" i="2"/>
  <c r="C11" i="2"/>
  <c r="D9" i="2"/>
  <c r="D13" i="2" s="1"/>
  <c r="D19" i="2" s="1"/>
  <c r="E9" i="2"/>
  <c r="E13" i="2" s="1"/>
  <c r="E19" i="2" s="1"/>
  <c r="F9" i="2"/>
  <c r="F13" i="2" s="1"/>
  <c r="F19" i="2" s="1"/>
  <c r="G9" i="2"/>
  <c r="G13" i="2" s="1"/>
  <c r="G19" i="2" s="1"/>
  <c r="H9" i="2"/>
  <c r="H13" i="2" s="1"/>
  <c r="H19" i="2" s="1"/>
  <c r="I9" i="2"/>
  <c r="I13" i="2" s="1"/>
  <c r="I19" i="2" s="1"/>
  <c r="I38" i="2" s="1"/>
  <c r="J9" i="2"/>
  <c r="J13" i="2" s="1"/>
  <c r="K9" i="2"/>
  <c r="L9" i="2"/>
  <c r="M9" i="2"/>
  <c r="C9" i="2"/>
  <c r="C41" i="2"/>
  <c r="J19" i="2" l="1"/>
  <c r="J38" i="2" s="1"/>
  <c r="I46" i="2"/>
  <c r="I22" i="2"/>
  <c r="H37" i="2"/>
  <c r="H38" i="2" s="1"/>
  <c r="H51" i="2"/>
  <c r="H46" i="2"/>
  <c r="H22" i="2"/>
  <c r="D77" i="3"/>
  <c r="E77" i="3" s="1"/>
  <c r="F77" i="3" s="1"/>
  <c r="C21" i="1" s="1"/>
  <c r="D51" i="2"/>
  <c r="D37" i="2"/>
  <c r="D38" i="2" s="1"/>
  <c r="E22" i="2"/>
  <c r="D22" i="2"/>
  <c r="G37" i="2"/>
  <c r="G38" i="2" s="1"/>
  <c r="E37" i="2"/>
  <c r="E38" i="2" s="1"/>
  <c r="G22" i="2"/>
  <c r="F37" i="2"/>
  <c r="F38" i="2" s="1"/>
  <c r="F22" i="2"/>
  <c r="F81" i="3"/>
  <c r="C24" i="1" s="1"/>
  <c r="F79" i="3"/>
  <c r="C22" i="1" s="1"/>
  <c r="D81" i="3"/>
  <c r="C76" i="3"/>
  <c r="C78" i="3" s="1"/>
  <c r="D82" i="3"/>
  <c r="D75" i="3"/>
  <c r="E75" i="3" s="1"/>
  <c r="F75" i="3" s="1"/>
  <c r="C20" i="1" s="1"/>
  <c r="D80" i="3"/>
  <c r="D79" i="3"/>
  <c r="L23" i="2"/>
  <c r="C13" i="2"/>
  <c r="C19" i="2" s="1"/>
  <c r="M53" i="2"/>
  <c r="K53" i="2"/>
  <c r="L53" i="2"/>
  <c r="M52" i="2"/>
  <c r="L52" i="2"/>
  <c r="I53" i="2"/>
  <c r="K52" i="2"/>
  <c r="H53" i="2"/>
  <c r="C28" i="3"/>
  <c r="C26" i="2" s="1"/>
  <c r="C83" i="3" l="1"/>
  <c r="C85" i="3" s="1"/>
  <c r="J53" i="2"/>
  <c r="J22" i="2"/>
  <c r="J46" i="2"/>
  <c r="F82" i="3"/>
  <c r="F80" i="3"/>
  <c r="C23" i="1" s="1"/>
  <c r="J21" i="2"/>
  <c r="I21" i="2"/>
  <c r="H21" i="2"/>
  <c r="C22" i="2"/>
  <c r="E76" i="3"/>
  <c r="E78" i="3" s="1"/>
  <c r="E83" i="3" s="1"/>
  <c r="G46" i="2"/>
  <c r="D46" i="2"/>
  <c r="E53" i="2"/>
  <c r="E46" i="2"/>
  <c r="F53" i="2"/>
  <c r="F46" i="2"/>
  <c r="D53" i="2"/>
  <c r="G53" i="2"/>
  <c r="C32" i="2"/>
  <c r="C31" i="2"/>
  <c r="C47" i="3"/>
  <c r="C45" i="3"/>
  <c r="C27" i="3"/>
  <c r="C26" i="3"/>
  <c r="C44" i="3"/>
  <c r="C46" i="3"/>
  <c r="D83" i="3" l="1"/>
  <c r="D85" i="3"/>
  <c r="C86" i="3"/>
  <c r="D87" i="3" s="1"/>
  <c r="C25" i="1"/>
  <c r="C46" i="2"/>
  <c r="F83" i="3" l="1"/>
  <c r="C26" i="1" s="1"/>
  <c r="E85" i="3"/>
  <c r="I22" i="3"/>
  <c r="F85" i="3" l="1"/>
  <c r="E86" i="3"/>
  <c r="F91" i="3" s="1"/>
  <c r="F92" i="3" s="1"/>
  <c r="E95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3" i="2"/>
  <c r="D33" i="2"/>
  <c r="E33" i="2"/>
  <c r="F33" i="2"/>
  <c r="D6" i="1"/>
  <c r="C24" i="3"/>
  <c r="I6" i="3" s="1"/>
  <c r="G33" i="2"/>
  <c r="H33" i="2"/>
  <c r="H52" i="2" s="1"/>
  <c r="I33" i="2"/>
  <c r="I52" i="2" s="1"/>
  <c r="J33" i="2"/>
  <c r="J52" i="2" s="1"/>
  <c r="K33" i="2"/>
  <c r="L33" i="2"/>
  <c r="M33" i="2"/>
  <c r="H7" i="1"/>
  <c r="C21" i="2"/>
  <c r="M20" i="2"/>
  <c r="L7" i="2"/>
  <c r="K23" i="2" s="1"/>
  <c r="K7" i="2"/>
  <c r="J23" i="2" s="1"/>
  <c r="J7" i="2"/>
  <c r="I23" i="2" s="1"/>
  <c r="I7" i="2"/>
  <c r="H23" i="2" s="1"/>
  <c r="H7" i="2"/>
  <c r="G23" i="2" s="1"/>
  <c r="G7" i="2"/>
  <c r="F7" i="2"/>
  <c r="E7" i="2"/>
  <c r="D7" i="2"/>
  <c r="G5" i="1"/>
  <c r="C2" i="1"/>
  <c r="C54" i="2"/>
  <c r="D95" i="3" l="1"/>
  <c r="C95" i="3" s="1"/>
  <c r="G24" i="1"/>
  <c r="F87" i="3"/>
  <c r="G25" i="1" s="1"/>
  <c r="C61" i="3"/>
  <c r="E61" i="3"/>
  <c r="E63" i="3" s="1"/>
  <c r="D23" i="2"/>
  <c r="E21" i="2"/>
  <c r="D21" i="2"/>
  <c r="C23" i="2"/>
  <c r="F21" i="2"/>
  <c r="E23" i="2"/>
  <c r="F23" i="2"/>
  <c r="G21" i="2"/>
  <c r="F52" i="2"/>
  <c r="E52" i="2"/>
  <c r="D52" i="2"/>
  <c r="G52" i="2"/>
  <c r="C53" i="2"/>
  <c r="D5" i="2"/>
  <c r="E45" i="3"/>
  <c r="E47" i="3"/>
  <c r="D47" i="3" s="1"/>
  <c r="E46" i="3"/>
  <c r="D46" i="3" s="1"/>
  <c r="E25" i="3"/>
  <c r="E27" i="3"/>
  <c r="E26" i="3"/>
  <c r="I7" i="3"/>
  <c r="L20" i="2"/>
  <c r="G20" i="2"/>
  <c r="H20" i="2"/>
  <c r="I20" i="2"/>
  <c r="J20" i="2"/>
  <c r="K20" i="2"/>
  <c r="F20" i="2"/>
  <c r="E64" i="3"/>
  <c r="E69" i="3" s="1"/>
  <c r="E24" i="3"/>
  <c r="E48" i="3"/>
  <c r="D48" i="3" s="1"/>
  <c r="E20" i="2"/>
  <c r="D20" i="2"/>
  <c r="C20" i="2"/>
  <c r="C52" i="2"/>
  <c r="E65" i="3" l="1"/>
  <c r="C63" i="3"/>
  <c r="E5" i="2"/>
  <c r="F5" i="2" s="1"/>
  <c r="G5" i="2" s="1"/>
  <c r="H5" i="2" s="1"/>
  <c r="I5" i="2" s="1"/>
  <c r="J5" i="2" s="1"/>
  <c r="K5" i="2" s="1"/>
  <c r="L5" i="2" s="1"/>
  <c r="M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6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7" i="2"/>
  <c r="C38" i="2" s="1"/>
  <c r="D49" i="3"/>
  <c r="D68" i="3"/>
  <c r="D4" i="3"/>
  <c r="C53" i="3" s="1"/>
  <c r="C34" i="2"/>
  <c r="G23" i="1" s="1"/>
  <c r="J47" i="3"/>
  <c r="J28" i="3" s="1"/>
  <c r="C25" i="2" l="1"/>
  <c r="C51" i="2" s="1"/>
  <c r="E53" i="3"/>
  <c r="C35" i="2"/>
  <c r="D6" i="3" l="1"/>
  <c r="C96" i="3"/>
  <c r="D96" i="3" s="1"/>
  <c r="E98" i="3" s="1"/>
  <c r="C29" i="1" s="1"/>
  <c r="C98" i="3" l="1"/>
  <c r="D98" i="3" s="1"/>
  <c r="D53" i="3"/>
  <c r="D7" i="3"/>
  <c r="D52" i="3"/>
  <c r="F29" i="1" l="1"/>
  <c r="D104" i="3"/>
  <c r="E6" i="3"/>
  <c r="C104" i="3" l="1"/>
  <c r="E104" i="3"/>
  <c r="F104" i="3"/>
  <c r="F98" i="3"/>
  <c r="D29" i="1" s="1"/>
</calcChain>
</file>

<file path=xl/sharedStrings.xml><?xml version="1.0" encoding="utf-8"?>
<sst xmlns="http://schemas.openxmlformats.org/spreadsheetml/2006/main" count="253" uniqueCount="232">
  <si>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</si>
  <si>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</si>
  <si>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</si>
  <si>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</si>
  <si>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</si>
  <si>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</si>
  <si>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</si>
  <si>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</si>
  <si>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</si>
  <si>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</si>
  <si>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</si>
  <si>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</si>
  <si>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</si>
  <si>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</si>
  <si>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</si>
  <si>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</si>
  <si>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</si>
  <si>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</si>
  <si>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</si>
  <si>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</si>
  <si>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</si>
  <si>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</si>
  <si>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</si>
  <si>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</si>
  <si>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</si>
  <si>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</si>
  <si>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</si>
  <si>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</si>
  <si>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</si>
  <si>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</si>
  <si>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</si>
  <si>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</si>
  <si>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</si>
  <si>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</si>
  <si>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</si>
  <si>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</si>
  <si>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</si>
  <si>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</si>
  <si>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</si>
  <si>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</si>
  <si>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</si>
  <si>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</si>
  <si>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</si>
  <si>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</si>
  <si>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</si>
  <si>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</si>
  <si>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</si>
  <si>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</si>
  <si>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</si>
  <si>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</si>
  <si>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</si>
  <si>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</si>
  <si>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</si>
  <si>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</si>
  <si>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</si>
  <si>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</si>
  <si>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</si>
  <si>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</si>
  <si>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</si>
  <si>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</si>
  <si>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</si>
  <si>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</si>
  <si>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</si>
  <si>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</si>
  <si>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</si>
  <si>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</si>
  <si>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</si>
  <si>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</si>
  <si>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</si>
  <si>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</si>
  <si>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</si>
  <si>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</si>
  <si>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</si>
  <si>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</si>
  <si>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</si>
  <si>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</si>
  <si>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</si>
  <si>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</si>
  <si>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</si>
  <si>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</si>
  <si>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</si>
  <si>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</si>
  <si>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</si>
  <si>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</si>
  <si>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</si>
  <si>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</si>
  <si>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</si>
  <si>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</si>
  <si>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</si>
  <si>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</si>
  <si>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</si>
  <si>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</si>
  <si>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</si>
  <si>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</si>
  <si>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</si>
  <si>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</si>
  <si>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</si>
  <si>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</si>
  <si>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</si>
  <si>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</si>
  <si>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</si>
  <si>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</si>
  <si>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</si>
  <si>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</si>
  <si>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</si>
  <si>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</si>
  <si>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</si>
  <si>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</si>
  <si>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</si>
  <si>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</si>
  <si>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</si>
  <si>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</si>
  <si>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</si>
  <si>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</si>
  <si>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</si>
  <si>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</si>
  <si>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</si>
  <si>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</si>
  <si>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</si>
  <si>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</si>
  <si>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</si>
  <si>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</si>
  <si>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</si>
  <si>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</si>
  <si>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</si>
  <si>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</si>
  <si>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</si>
  <si>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</si>
  <si>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</si>
  <si>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</si>
  <si>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</si>
  <si>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</si>
  <si>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</si>
  <si>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</si>
  <si>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</si>
  <si>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</si>
  <si>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</si>
  <si>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</si>
  <si>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</si>
  <si>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</si>
  <si>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</si>
  <si>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</si>
  <si>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</si>
  <si>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</si>
  <si>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</si>
  <si>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</si>
  <si>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</si>
  <si>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</si>
  <si>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</si>
  <si>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</si>
  <si>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</si>
  <si>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</si>
  <si>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</si>
  <si>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</si>
  <si>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</si>
  <si>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</si>
  <si>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</si>
  <si>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</si>
  <si>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</si>
  <si>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</si>
  <si>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</si>
  <si>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</si>
  <si>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</si>
  <si>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</si>
  <si>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</si>
  <si>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</si>
  <si>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</si>
  <si>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</si>
  <si>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</si>
  <si>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</si>
  <si>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</si>
  <si>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</si>
  <si>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</si>
  <si>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</si>
  <si>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</si>
  <si>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</si>
  <si>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</si>
  <si>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</si>
  <si>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</si>
  <si>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</si>
  <si>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</si>
  <si>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</si>
  <si>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</si>
  <si>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</si>
  <si>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</si>
  <si>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</si>
  <si>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</si>
  <si>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</si>
  <si>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</si>
  <si>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</si>
  <si>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</si>
  <si>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</si>
  <si>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</si>
  <si>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</si>
  <si>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</si>
  <si>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</si>
  <si>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</si>
  <si>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</si>
  <si>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</si>
  <si>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</si>
  <si>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</si>
  <si>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</si>
  <si>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</si>
  <si>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</si>
  <si>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</si>
  <si>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</si>
  <si>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</si>
  <si>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</si>
  <si>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</si>
  <si>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</si>
  <si>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Profit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</si>
  <si>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</si>
  <si>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</si>
  <si>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</si>
  <si>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</si>
  <si>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</si>
  <si>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</si>
  <si>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</si>
  <si>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</si>
  <si>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</si>
  <si>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Initial Rate of Return (E/P)</t>
    <phoneticPr fontId="20" type="noConversion"/>
  </si>
  <si>
    <t>Future Value is</t>
    <phoneticPr fontId="20" type="noConversion"/>
  </si>
  <si>
    <t>Gordon Growth Model with 2% growth rate</t>
    <phoneticPr fontId="20" type="noConversion"/>
  </si>
  <si>
    <t>@Initial rate</t>
    <phoneticPr fontId="20" type="noConversion"/>
  </si>
  <si>
    <t>@15% Target</t>
    <phoneticPr fontId="20" type="noConversion"/>
  </si>
  <si>
    <t>Avg of E and D method</t>
    <phoneticPr fontId="20" type="noConversion"/>
  </si>
  <si>
    <t>Avg Valuation</t>
    <phoneticPr fontId="20" type="noConversion"/>
  </si>
  <si>
    <t>CN</t>
  </si>
  <si>
    <t>CNY</t>
  </si>
  <si>
    <t>1405.HK</t>
  </si>
  <si>
    <t>達勢股份</t>
  </si>
  <si>
    <t>C0002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</si>
</sst>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&quot;$&quot;#,##0.00;[Red]\-&quot;$&quot;#,##0.00"/>
    <numFmt numFmtId="165" formatCode="yyyy\-mm\-dd"/>
    <numFmt numFmtId="166" formatCode="#,##0&quot;mm&quot;"/>
    <numFmt numFmtId="167" formatCode="#,##0.00&quot;x&quot;"/>
    <numFmt numFmtId="168" formatCode="0.00\x"/>
    <numFmt numFmtId="169" formatCode="yyyy\-mm\-dd;@"/>
    <numFmt numFmtId="170" formatCode="_(* #,##0_);_(* \(#,##0\);_(* &quot;-&quot;??_);_(@_)"/>
    <numFmt numFmtId="171" formatCode="&quot;in&quot;\ 0\ &quot;Months&quot;"/>
    <numFmt numFmtId="172" formatCode="#,##0.00_ "/>
    <numFmt numFmtId="173" formatCode="#,##0.0000"/>
    <numFmt numFmtId="174" formatCode="0&quot; Years&quot;"/>
  </numFmts>
  <fonts count="27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1"/>
      <color rgb="FF0000FF"/>
      <name val="Microsoft YaHei"/>
      <family val="1"/>
      <charset val="134"/>
    </font>
    <font>
      <sz val="10"/>
      <color rgb="FF0000FF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15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70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9" fontId="15" fillId="4" borderId="2" xfId="0" applyNumberFormat="1" applyFont="1" applyFill="1" applyBorder="1" applyAlignment="1">
      <alignment horizontal="center"/>
    </xf>
    <xf numFmtId="169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9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67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8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69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10" fontId="1" fillId="0" borderId="7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69" fontId="2" fillId="9" borderId="5" xfId="0" applyNumberFormat="1" applyFont="1" applyFill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1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9" fillId="0" borderId="4" xfId="0" applyFont="1" applyBorder="1"/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3" fontId="1" fillId="0" borderId="4" xfId="0" applyNumberFormat="1" applyFont="1" applyBorder="1" applyAlignment="1">
      <alignment horizontal="center"/>
    </xf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0" fontId="4" fillId="10" borderId="0" xfId="0" applyFont="1" applyFill="1"/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2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0" fillId="10" borderId="4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center"/>
    </xf>
    <xf numFmtId="0" fontId="10" fillId="10" borderId="0" xfId="0" applyFont="1" applyFill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2" fillId="10" borderId="11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72" fontId="4" fillId="0" borderId="3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173" fontId="6" fillId="0" borderId="3" xfId="0" applyNumberFormat="1" applyFont="1" applyBorder="1" applyAlignment="1">
      <alignment horizontal="center"/>
    </xf>
    <xf numFmtId="173" fontId="2" fillId="0" borderId="12" xfId="0" applyNumberFormat="1" applyFont="1" applyBorder="1" applyAlignment="1">
      <alignment horizontal="center"/>
    </xf>
    <xf numFmtId="173" fontId="1" fillId="0" borderId="11" xfId="0" applyNumberFormat="1" applyFont="1" applyBorder="1" applyAlignment="1">
      <alignment horizontal="center"/>
    </xf>
    <xf numFmtId="173" fontId="2" fillId="0" borderId="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10" fontId="2" fillId="0" borderId="14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/>
    <xf numFmtId="10" fontId="2" fillId="0" borderId="15" xfId="0" applyNumberFormat="1" applyFont="1" applyBorder="1" applyAlignment="1">
      <alignment horizontal="center"/>
    </xf>
    <xf numFmtId="0" fontId="13" fillId="7" borderId="3" xfId="0" applyFont="1" applyFill="1" applyBorder="1" applyAlignment="1">
      <alignment horizontal="left"/>
    </xf>
    <xf numFmtId="0" fontId="24" fillId="0" borderId="0" xfId="0" applyFont="1"/>
    <xf numFmtId="167" fontId="1" fillId="0" borderId="14" xfId="0" applyNumberFormat="1" applyFont="1" applyBorder="1" applyAlignment="1">
      <alignment horizontal="center"/>
    </xf>
    <xf numFmtId="10" fontId="2" fillId="8" borderId="14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71" fontId="2" fillId="8" borderId="3" xfId="0" applyNumberFormat="1" applyFont="1" applyFill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10" fontId="2" fillId="0" borderId="16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left"/>
    </xf>
    <xf numFmtId="0" fontId="26" fillId="0" borderId="3" xfId="2" applyFont="1" applyBorder="1"/>
    <xf numFmtId="0" fontId="4" fillId="0" borderId="0" xfId="0" quotePrefix="1" applyFont="1" applyAlignment="1">
      <alignment horizontal="center"/>
    </xf>
    <xf numFmtId="172" fontId="4" fillId="0" borderId="7" xfId="0" applyNumberFormat="1" applyFont="1" applyBorder="1" applyAlignment="1">
      <alignment horizontal="center"/>
    </xf>
    <xf numFmtId="9" fontId="10" fillId="10" borderId="7" xfId="0" applyNumberFormat="1" applyFont="1" applyFill="1" applyBorder="1" applyAlignment="1">
      <alignment horizontal="center"/>
    </xf>
    <xf numFmtId="166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5" fillId="9" borderId="4" xfId="0" applyFont="1" applyFill="1" applyBorder="1" applyAlignment="1">
      <alignment horizontal="center"/>
    </xf>
    <xf numFmtId="0" fontId="6" fillId="8" borderId="4" xfId="0" applyFont="1" applyFill="1" applyBorder="1"/>
    <xf numFmtId="165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  <xf numFmtId="0" fontId="4" fillId="0" borderId="3" xfId="0" applyFont="1" applyBorder="1"/>
    <xf numFmtId="169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69" fontId="13" fillId="7" borderId="10" xfId="0" applyNumberFormat="1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1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12" sqref="C12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4.33203125" style="1" bestFit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94"/>
      <c r="C1" s="94"/>
      <c r="D1" s="94"/>
      <c r="E1" s="94"/>
      <c r="F1" s="94"/>
      <c r="G1" s="94"/>
      <c r="H1" s="94"/>
    </row>
    <row r="2" spans="1:10" ht="15.75" customHeight="1" x14ac:dyDescent="0.2">
      <c r="A2" s="5"/>
      <c r="B2" s="6" t="s">
        <v>0</v>
      </c>
      <c r="C2" s="25" t="str">
        <f>C3&amp;" : "&amp;C4</f>
        <v>1405.HK : 達勢股份</v>
      </c>
      <c r="D2" s="94"/>
      <c r="E2" s="7"/>
      <c r="F2" s="7"/>
      <c r="G2" s="93"/>
      <c r="H2" s="93"/>
    </row>
    <row r="3" spans="1:10" ht="15.75" customHeight="1" x14ac:dyDescent="0.15">
      <c r="B3" s="3" t="s">
        <v>217</v>
      </c>
      <c r="C3" s="201" t="s">
        <v>229</v>
      </c>
      <c r="D3" s="202"/>
      <c r="E3" s="94"/>
      <c r="F3" s="3" t="s">
        <v>1</v>
      </c>
      <c r="G3" s="169">
        <v>73.400001525878906</v>
      </c>
      <c r="H3" s="171" t="s">
        <v>2</v>
      </c>
    </row>
    <row r="4" spans="1:10" ht="15.75" customHeight="1" x14ac:dyDescent="0.25">
      <c r="B4" s="35" t="s">
        <v>218</v>
      </c>
      <c r="C4" s="203" t="s">
        <v>230</v>
      </c>
      <c r="D4" s="204"/>
      <c r="E4" s="94"/>
      <c r="F4" s="3" t="s">
        <v>3</v>
      </c>
      <c r="G4" s="207">
        <v>130481963</v>
      </c>
      <c r="H4" s="207"/>
      <c r="I4" s="39"/>
    </row>
    <row r="5" spans="1:10" ht="15.75" customHeight="1" x14ac:dyDescent="0.15">
      <c r="B5" s="3" t="s">
        <v>178</v>
      </c>
      <c r="C5" s="205">
        <v>45603</v>
      </c>
      <c r="D5" s="206"/>
      <c r="E5" s="34"/>
      <c r="F5" s="35" t="s">
        <v>102</v>
      </c>
      <c r="G5" s="199">
        <f>G3*G4/1000000</f>
        <v>9577.3762832996745</v>
      </c>
      <c r="H5" s="199"/>
      <c r="I5" s="38"/>
      <c r="J5" s="28"/>
    </row>
    <row r="6" spans="1:10" ht="15.75" customHeight="1" x14ac:dyDescent="0.15">
      <c r="B6" s="94" t="s">
        <v>4</v>
      </c>
      <c r="C6" s="187">
        <v>8</v>
      </c>
      <c r="D6" s="188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00" t="s">
        <v>228</v>
      </c>
      <c r="H6" s="200"/>
      <c r="I6" s="38"/>
    </row>
    <row r="7" spans="1:10" ht="15.75" customHeight="1" x14ac:dyDescent="0.15">
      <c r="B7" s="93" t="s">
        <v>215</v>
      </c>
      <c r="C7" s="186" t="s">
        <v>71</v>
      </c>
      <c r="D7" s="192" t="s">
        <v>231</v>
      </c>
      <c r="E7" s="94"/>
      <c r="F7" s="35" t="s">
        <v>6</v>
      </c>
      <c r="G7" s="170">
        <v>1.0866400003433228</v>
      </c>
      <c r="H7" s="77" t="str">
        <f>IF(G6=Dashboard!H3,H3,G6&amp;"/"&amp;Dashboard!H3)</f>
        <v>CNY/HKD</v>
      </c>
    </row>
    <row r="8" spans="1:10" ht="15.75" customHeight="1" x14ac:dyDescent="0.15"/>
    <row r="9" spans="1:10" ht="15.75" customHeight="1" x14ac:dyDescent="0.15">
      <c r="B9" s="177" t="s">
        <v>213</v>
      </c>
      <c r="F9" s="183" t="s">
        <v>206</v>
      </c>
    </row>
    <row r="10" spans="1:10" ht="15.75" customHeight="1" x14ac:dyDescent="0.15">
      <c r="B10" s="1" t="s">
        <v>195</v>
      </c>
      <c r="C10" s="168">
        <v>4.2099999999999999E-2</v>
      </c>
      <c r="F10" s="125" t="s">
        <v>203</v>
      </c>
    </row>
    <row r="11" spans="1:10" ht="15.75" customHeight="1" thickBot="1" x14ac:dyDescent="0.2">
      <c r="B11" s="146" t="s">
        <v>199</v>
      </c>
      <c r="C11" s="181">
        <v>5.3099999999999994E-2</v>
      </c>
      <c r="D11" s="174" t="s">
        <v>211</v>
      </c>
      <c r="F11" s="125" t="s">
        <v>197</v>
      </c>
    </row>
    <row r="12" spans="1:10" ht="15.75" customHeight="1" thickTop="1" x14ac:dyDescent="0.15">
      <c r="B12" s="94" t="s">
        <v>142</v>
      </c>
      <c r="C12" s="189">
        <v>0.08</v>
      </c>
      <c r="D12" s="168">
        <v>8.4000000000000005E-2</v>
      </c>
      <c r="F12" s="125"/>
    </row>
    <row r="13" spans="1:10" ht="15.75" customHeight="1" x14ac:dyDescent="0.15"/>
    <row r="14" spans="1:10" ht="15.75" customHeight="1" x14ac:dyDescent="0.15">
      <c r="B14" s="1" t="s">
        <v>196</v>
      </c>
      <c r="C14" s="168">
        <v>2.1309999999999999E-2</v>
      </c>
      <c r="F14" s="125" t="s">
        <v>202</v>
      </c>
    </row>
    <row r="15" spans="1:10" ht="15.75" customHeight="1" x14ac:dyDescent="0.15">
      <c r="B15" s="1" t="s">
        <v>207</v>
      </c>
      <c r="C15" s="168">
        <v>6.5000000000000002E-2</v>
      </c>
      <c r="F15" s="125" t="s">
        <v>200</v>
      </c>
    </row>
    <row r="16" spans="1:10" ht="15.75" customHeight="1" thickBot="1" x14ac:dyDescent="0.2">
      <c r="B16" s="146" t="s">
        <v>208</v>
      </c>
      <c r="C16" s="181">
        <v>0.16</v>
      </c>
      <c r="D16" s="191" t="s">
        <v>212</v>
      </c>
      <c r="F16" s="125" t="s">
        <v>198</v>
      </c>
    </row>
    <row r="17" spans="1:8" ht="15.75" customHeight="1" thickTop="1" x14ac:dyDescent="0.15">
      <c r="B17" s="94" t="s">
        <v>201</v>
      </c>
      <c r="C17" s="190">
        <v>8.8000000000000009E-2</v>
      </c>
      <c r="D17" s="185"/>
    </row>
    <row r="18" spans="1:8" ht="15.75" customHeight="1" x14ac:dyDescent="0.15"/>
    <row r="19" spans="1:8" ht="15.75" customHeight="1" x14ac:dyDescent="0.15">
      <c r="B19" s="182" t="s">
        <v>204</v>
      </c>
      <c r="C19" s="172" t="s">
        <v>52</v>
      </c>
      <c r="D19" s="94"/>
      <c r="E19" s="94"/>
      <c r="F19" s="44"/>
      <c r="G19" s="94"/>
      <c r="H19" s="94"/>
    </row>
    <row r="20" spans="1:8" ht="15.75" customHeight="1" x14ac:dyDescent="0.15">
      <c r="B20" s="174" t="s">
        <v>185</v>
      </c>
      <c r="C20" s="175">
        <f>Fin_Analysis!F75</f>
        <v>0.8448760372568398</v>
      </c>
      <c r="F20" s="94"/>
      <c r="G20" s="29"/>
    </row>
    <row r="21" spans="1:8" ht="15.75" customHeight="1" x14ac:dyDescent="0.15">
      <c r="B21" s="174" t="s">
        <v>186</v>
      </c>
      <c r="C21" s="175">
        <f>Fin_Analysis!F77</f>
        <v>0.18023840312844694</v>
      </c>
      <c r="F21" s="94"/>
      <c r="G21" s="29"/>
    </row>
    <row r="22" spans="1:8" ht="15.75" customHeight="1" x14ac:dyDescent="0.15">
      <c r="B22" s="174" t="s">
        <v>187</v>
      </c>
      <c r="C22" s="175">
        <f>Fin_Analysis!F79</f>
        <v>1.7912194354438221E-2</v>
      </c>
      <c r="F22" s="182" t="s">
        <v>205</v>
      </c>
    </row>
    <row r="23" spans="1:8" ht="15.75" customHeight="1" x14ac:dyDescent="0.15">
      <c r="B23" s="174" t="s">
        <v>188</v>
      </c>
      <c r="C23" s="175">
        <f>Fin_Analysis!F80</f>
        <v>0.03</v>
      </c>
      <c r="F23" s="178" t="s">
        <v>209</v>
      </c>
      <c r="G23" s="184">
        <f>G3/(Data!C34*Data!E3/Common_Shares*Exchange_Rate)</f>
        <v>0.68515412223032834</v>
      </c>
    </row>
    <row r="24" spans="1:8" ht="15.75" customHeight="1" x14ac:dyDescent="0.15">
      <c r="B24" s="174" t="s">
        <v>189</v>
      </c>
      <c r="C24" s="175">
        <f>Fin_Analysis!F81</f>
        <v>0</v>
      </c>
      <c r="F24" s="178" t="s">
        <v>194</v>
      </c>
      <c r="G24" s="179">
        <f>(Fin_Analysis!E86*G7)/G3</f>
        <v>-1.8957598695893682E-2</v>
      </c>
    </row>
    <row r="25" spans="1:8" ht="15.75" customHeight="1" x14ac:dyDescent="0.15">
      <c r="B25" s="174" t="s">
        <v>214</v>
      </c>
      <c r="C25" s="175">
        <f>Fin_Analysis!F82</f>
        <v>0</v>
      </c>
      <c r="F25" s="178" t="s">
        <v>193</v>
      </c>
      <c r="G25" s="175">
        <f>Fin_Analysis!F87</f>
        <v>0</v>
      </c>
    </row>
    <row r="26" spans="1:8" ht="15.75" customHeight="1" x14ac:dyDescent="0.15">
      <c r="B26" s="176" t="s">
        <v>191</v>
      </c>
      <c r="C26" s="175">
        <f>Fin_Analysis!F83</f>
        <v>-7.3026634739724955E-2</v>
      </c>
      <c r="F26" s="180" t="s">
        <v>216</v>
      </c>
      <c r="G26" s="179">
        <f>Fin_Analysis!E87*Exchange_Rate/G3</f>
        <v>0</v>
      </c>
    </row>
    <row r="27" spans="1:8" ht="15.75" customHeight="1" x14ac:dyDescent="0.15"/>
    <row r="28" spans="1:8" ht="15.75" customHeight="1" x14ac:dyDescent="0.15">
      <c r="A28" s="5"/>
      <c r="B28" s="99" t="s">
        <v>7</v>
      </c>
      <c r="C28" s="98" t="s">
        <v>182</v>
      </c>
      <c r="D28" s="43" t="s">
        <v>183</v>
      </c>
      <c r="E28" s="62"/>
      <c r="F28" s="53" t="s">
        <v>181</v>
      </c>
      <c r="G28" s="93"/>
      <c r="H28" s="93"/>
    </row>
    <row r="29" spans="1:8" ht="15.75" customHeight="1" x14ac:dyDescent="0.15">
      <c r="B29" s="94" t="s">
        <v>184</v>
      </c>
      <c r="C29" s="166">
        <f>IF(Fin_Analysis!C106="Profit",Fin_Analysis!E98,IF(Fin_Analysis!C106="Dividend",Fin_Analysis!E101,Fin_Analysis!E104))</f>
        <v>2.3490774434310842</v>
      </c>
      <c r="D29" s="165">
        <f>IF(Fin_Analysis!C106="Profit",Fin_Analysis!F98,IF(Fin_Analysis!C106="Dividend",Fin_Analysis!F101,Fin_Analysis!F104))</f>
        <v>0.85863771225969499</v>
      </c>
      <c r="E29" s="94"/>
      <c r="F29" s="167">
        <f>IF(Fin_Analysis!C106="Profit",Fin_Analysis!D98,IF(Fin_Analysis!C106="Dividend",Fin_Analysis!D101,Fin_Analysis!D104))</f>
        <v>0.68691016980775599</v>
      </c>
      <c r="H29" s="94"/>
    </row>
    <row r="30" spans="1:8" ht="15.75" customHeight="1" x14ac:dyDescent="0.15"/>
    <row r="31" spans="1:8" ht="15.75" customHeight="1" x14ac:dyDescent="0.15"/>
    <row r="32" spans="1:8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0" priority="4">
      <formula>LEN(TRIM(C11))=0</formula>
    </cfRule>
  </conditionalFormatting>
  <conditionalFormatting sqref="D12">
    <cfRule type="containsBlanks" dxfId="9" priority="2">
      <formula>LEN(TRIM(D12))=0</formula>
    </cfRule>
  </conditionalFormatting>
  <conditionalFormatting sqref="D17">
    <cfRule type="containsBlanks" dxfId="8" priority="1">
      <formula>LEN(TRIM(D17))=0</formula>
    </cfRule>
  </conditionalFormatting>
  <conditionalFormatting sqref="E28">
    <cfRule type="cellIs" dxfId="7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28"/>
  <sheetViews>
    <sheetView showGridLines="0" tabSelected="1" topLeftCell="A3" zoomScaleNormal="100" workbookViewId="0">
      <pane xSplit="2" topLeftCell="C1" activePane="topRight" state="frozen"/>
      <selection activeCell="A4" sqref="A4"/>
      <selection pane="topRight" activeCell="C12" sqref="C12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9</v>
      </c>
      <c r="C2" s="18"/>
      <c r="D2" s="17"/>
      <c r="E2" s="17"/>
      <c r="F2" s="115"/>
      <c r="G2" s="7"/>
      <c r="H2" s="7"/>
      <c r="I2" s="7"/>
      <c r="J2" s="94"/>
      <c r="K2" s="7"/>
      <c r="L2" s="7"/>
      <c r="M2" s="7"/>
    </row>
    <row r="3" spans="1:14" ht="15.75" customHeight="1" x14ac:dyDescent="0.15">
      <c r="A3" s="4"/>
      <c r="B3" s="116" t="s">
        <v>10</v>
      </c>
      <c r="C3" s="96">
        <v>45291</v>
      </c>
      <c r="D3" s="116" t="s">
        <v>11</v>
      </c>
      <c r="E3" s="92">
        <v>1000</v>
      </c>
      <c r="F3" s="1" t="str">
        <f>Dashboard!G6</f>
        <v>CNY</v>
      </c>
      <c r="G3" s="94"/>
      <c r="H3" s="3"/>
      <c r="I3" s="94"/>
      <c r="J3" s="42"/>
      <c r="K3" s="94"/>
      <c r="L3" s="94"/>
      <c r="M3" s="94"/>
    </row>
    <row r="4" spans="1:14" ht="15.75" customHeight="1" x14ac:dyDescent="0.15">
      <c r="A4" s="4"/>
      <c r="C4" s="94"/>
      <c r="F4" s="94"/>
      <c r="J4" s="94"/>
    </row>
    <row r="5" spans="1:14" ht="15.75" customHeight="1" x14ac:dyDescent="0.15">
      <c r="A5" s="16"/>
      <c r="B5" s="139" t="s">
        <v>146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15">
      <c r="A6" s="4"/>
      <c r="B6" s="105" t="s">
        <v>12</v>
      </c>
      <c r="C6" s="58">
        <v>3050715</v>
      </c>
      <c r="D6" s="58">
        <v>2020789</v>
      </c>
      <c r="E6" s="58"/>
      <c r="F6" s="58"/>
      <c r="G6" s="58"/>
      <c r="H6" s="58"/>
      <c r="I6" s="58"/>
      <c r="J6" s="58"/>
      <c r="K6" s="58"/>
      <c r="L6" s="58"/>
      <c r="M6" s="58"/>
      <c r="N6" s="94"/>
    </row>
    <row r="7" spans="1:14" ht="15.75" customHeight="1" x14ac:dyDescent="0.15">
      <c r="A7" s="4"/>
      <c r="B7" s="107" t="s">
        <v>13</v>
      </c>
      <c r="C7" s="103">
        <f t="shared" ref="C7:M7" si="1">IF(D6="","",C6/D6-1)</f>
        <v>0.50966528420334822</v>
      </c>
      <c r="D7" s="103" t="str">
        <f t="shared" si="1"/>
        <v/>
      </c>
      <c r="E7" s="103" t="str">
        <f t="shared" si="1"/>
        <v/>
      </c>
      <c r="F7" s="103" t="str">
        <f t="shared" si="1"/>
        <v/>
      </c>
      <c r="G7" s="103" t="str">
        <f t="shared" si="1"/>
        <v/>
      </c>
      <c r="H7" s="103" t="str">
        <f t="shared" si="1"/>
        <v/>
      </c>
      <c r="I7" s="103" t="str">
        <f t="shared" si="1"/>
        <v/>
      </c>
      <c r="J7" s="103" t="str">
        <f t="shared" si="1"/>
        <v/>
      </c>
      <c r="K7" s="103" t="str">
        <f t="shared" si="1"/>
        <v/>
      </c>
      <c r="L7" s="103" t="str">
        <f t="shared" si="1"/>
        <v/>
      </c>
      <c r="M7" s="103" t="str">
        <f t="shared" si="1"/>
        <v/>
      </c>
      <c r="N7" s="94"/>
    </row>
    <row r="8" spans="1:14" ht="15.75" customHeight="1" x14ac:dyDescent="0.15">
      <c r="A8" s="4"/>
      <c r="B8" s="108" t="s">
        <v>109</v>
      </c>
      <c r="C8" s="92">
        <f>836796+1178681+236855+159196+51125+114823</f>
        <v>2577476</v>
      </c>
      <c r="D8" s="92">
        <f>549721+785040+190633+120692+47476+82984</f>
        <v>1776546</v>
      </c>
      <c r="E8" s="92"/>
      <c r="F8" s="92"/>
      <c r="G8" s="92"/>
      <c r="H8" s="92"/>
      <c r="I8" s="92"/>
      <c r="J8" s="92"/>
      <c r="K8" s="92"/>
      <c r="L8" s="92"/>
      <c r="M8" s="92"/>
      <c r="N8" s="94"/>
    </row>
    <row r="9" spans="1:14" ht="15.75" customHeight="1" x14ac:dyDescent="0.15">
      <c r="A9" s="4"/>
      <c r="B9" s="109" t="s">
        <v>105</v>
      </c>
      <c r="C9" s="101">
        <f t="shared" ref="C9:M9" si="2">IF(C6="","",(C6-C8))</f>
        <v>473239</v>
      </c>
      <c r="D9" s="101">
        <f t="shared" si="2"/>
        <v>244243</v>
      </c>
      <c r="E9" s="101" t="str">
        <f t="shared" si="2"/>
        <v/>
      </c>
      <c r="F9" s="101" t="str">
        <f t="shared" si="2"/>
        <v/>
      </c>
      <c r="G9" s="101" t="str">
        <f t="shared" si="2"/>
        <v/>
      </c>
      <c r="H9" s="101" t="str">
        <f t="shared" si="2"/>
        <v/>
      </c>
      <c r="I9" s="101" t="str">
        <f t="shared" si="2"/>
        <v/>
      </c>
      <c r="J9" s="101" t="str">
        <f t="shared" si="2"/>
        <v/>
      </c>
      <c r="K9" s="101" t="str">
        <f t="shared" si="2"/>
        <v/>
      </c>
      <c r="L9" s="101" t="str">
        <f t="shared" si="2"/>
        <v/>
      </c>
      <c r="M9" s="101" t="str">
        <f t="shared" si="2"/>
        <v/>
      </c>
      <c r="N9" s="94"/>
    </row>
    <row r="10" spans="1:14" ht="15.75" customHeight="1" x14ac:dyDescent="0.15">
      <c r="A10" s="4"/>
      <c r="B10" s="108" t="s">
        <v>107</v>
      </c>
      <c r="C10" s="92">
        <f>159214+188892+70843+130907</f>
        <v>549856</v>
      </c>
      <c r="D10" s="92">
        <f>116809+129750+25847+122760</f>
        <v>395166</v>
      </c>
      <c r="E10" s="92"/>
      <c r="F10" s="92"/>
      <c r="G10" s="92"/>
      <c r="H10" s="92"/>
      <c r="I10" s="92"/>
      <c r="J10" s="92"/>
      <c r="K10" s="92"/>
      <c r="L10" s="92"/>
      <c r="M10" s="92"/>
      <c r="N10" s="94"/>
    </row>
    <row r="11" spans="1:14" ht="15.75" customHeight="1" x14ac:dyDescent="0.15">
      <c r="A11" s="4"/>
      <c r="B11" s="105" t="s">
        <v>100</v>
      </c>
      <c r="C11" s="97">
        <f t="shared" ref="C11:M11" si="3">IF(C6="","",(C12/C6))</f>
        <v>0</v>
      </c>
      <c r="D11" s="97">
        <f t="shared" si="3"/>
        <v>0</v>
      </c>
      <c r="E11" s="97" t="str">
        <f t="shared" si="3"/>
        <v/>
      </c>
      <c r="F11" s="97" t="str">
        <f t="shared" si="3"/>
        <v/>
      </c>
      <c r="G11" s="97" t="str">
        <f t="shared" si="3"/>
        <v/>
      </c>
      <c r="H11" s="97" t="str">
        <f t="shared" si="3"/>
        <v/>
      </c>
      <c r="I11" s="97" t="str">
        <f t="shared" si="3"/>
        <v/>
      </c>
      <c r="J11" s="97" t="str">
        <f t="shared" si="3"/>
        <v/>
      </c>
      <c r="K11" s="97" t="str">
        <f t="shared" si="3"/>
        <v/>
      </c>
      <c r="L11" s="97" t="str">
        <f t="shared" si="3"/>
        <v/>
      </c>
      <c r="M11" s="97" t="str">
        <f t="shared" si="3"/>
        <v/>
      </c>
      <c r="N11" s="94"/>
    </row>
    <row r="12" spans="1:14" ht="15.75" customHeight="1" x14ac:dyDescent="0.15">
      <c r="A12" s="4"/>
      <c r="B12" s="108" t="s">
        <v>108</v>
      </c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4"/>
    </row>
    <row r="13" spans="1:14" ht="15.75" customHeight="1" x14ac:dyDescent="0.15">
      <c r="A13" s="4"/>
      <c r="B13" s="109" t="s">
        <v>106</v>
      </c>
      <c r="C13" s="101">
        <f>IF(C6="","",(C9-C10+C12))</f>
        <v>-76617</v>
      </c>
      <c r="D13" s="101">
        <f t="shared" ref="D13:M13" si="4">IF(D6="","",(D9-D10+D12))</f>
        <v>-150923</v>
      </c>
      <c r="E13" s="101" t="str">
        <f t="shared" si="4"/>
        <v/>
      </c>
      <c r="F13" s="101" t="str">
        <f t="shared" si="4"/>
        <v/>
      </c>
      <c r="G13" s="101" t="str">
        <f t="shared" si="4"/>
        <v/>
      </c>
      <c r="H13" s="101" t="str">
        <f t="shared" si="4"/>
        <v/>
      </c>
      <c r="I13" s="101" t="str">
        <f t="shared" si="4"/>
        <v/>
      </c>
      <c r="J13" s="101" t="str">
        <f t="shared" si="4"/>
        <v/>
      </c>
      <c r="K13" s="101" t="str">
        <f t="shared" si="4"/>
        <v/>
      </c>
      <c r="L13" s="101" t="str">
        <f t="shared" si="4"/>
        <v/>
      </c>
      <c r="M13" s="101" t="str">
        <f t="shared" si="4"/>
        <v/>
      </c>
      <c r="N13" s="94"/>
    </row>
    <row r="14" spans="1:14" ht="15.75" customHeight="1" x14ac:dyDescent="0.15">
      <c r="A14" s="4"/>
      <c r="B14" s="108" t="s">
        <v>110</v>
      </c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4"/>
    </row>
    <row r="15" spans="1:14" ht="15.75" customHeight="1" x14ac:dyDescent="0.15">
      <c r="A15" s="4"/>
      <c r="B15" s="108" t="s">
        <v>111</v>
      </c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4"/>
    </row>
    <row r="16" spans="1:14" ht="15.75" customHeight="1" x14ac:dyDescent="0.15">
      <c r="A16" s="4"/>
      <c r="B16" s="108" t="s">
        <v>113</v>
      </c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4"/>
    </row>
    <row r="17" spans="1:14" ht="15.75" customHeight="1" x14ac:dyDescent="0.15">
      <c r="A17" s="4"/>
      <c r="B17" s="108" t="s">
        <v>129</v>
      </c>
      <c r="C17" s="92">
        <v>54645</v>
      </c>
      <c r="D17" s="92">
        <v>78321</v>
      </c>
      <c r="E17" s="92"/>
      <c r="F17" s="92"/>
      <c r="G17" s="92"/>
      <c r="H17" s="92"/>
      <c r="I17" s="92"/>
      <c r="J17" s="92"/>
      <c r="K17" s="92"/>
      <c r="L17" s="92"/>
      <c r="M17" s="92"/>
      <c r="N17" s="94"/>
    </row>
    <row r="18" spans="1:14" ht="15.75" customHeight="1" x14ac:dyDescent="0.15">
      <c r="A18" s="4"/>
      <c r="B18" s="110" t="s">
        <v>114</v>
      </c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4"/>
    </row>
    <row r="19" spans="1:14" ht="15.75" customHeight="1" x14ac:dyDescent="0.15">
      <c r="A19" s="4"/>
      <c r="B19" s="105" t="s">
        <v>115</v>
      </c>
      <c r="C19" s="95">
        <f>IF(C6="","",C13-C14-MAX(C15,0)-MAX(C16,0)-C17-MAX(C18/(1-Fin_Analysis!$F$84),0))</f>
        <v>-131262</v>
      </c>
      <c r="D19" s="95">
        <f>IF(D6="","",D13-D14-MAX(D15,0)-MAX(D16,0)-D17-MAX(D18/(1-Fin_Analysis!$F$84),0))</f>
        <v>-229244</v>
      </c>
      <c r="E19" s="95" t="str">
        <f>IF(E6="","",E13-E14-MAX(E15,0)-MAX(E16,0)-E17-MAX(E18/(1-Fin_Analysis!$F$84),0))</f>
        <v/>
      </c>
      <c r="F19" s="95" t="str">
        <f>IF(F6="","",F13-F14-MAX(F15,0)-MAX(F16,0)-F17-MAX(F18/(1-Fin_Analysis!$F$84),0))</f>
        <v/>
      </c>
      <c r="G19" s="95" t="str">
        <f>IF(G6="","",G13-G14-MAX(G15,0)-MAX(G16,0)-G17-MAX(G18/(1-Fin_Analysis!$F$84),0))</f>
        <v/>
      </c>
      <c r="H19" s="95" t="str">
        <f>IF(H6="","",H13-H14-MAX(H15,0)-MAX(H16,0)-H17-MAX(H18/(1-Fin_Analysis!$F$84),0))</f>
        <v/>
      </c>
      <c r="I19" s="95" t="str">
        <f>IF(I6="","",I13-I14-MAX(I15,0)-MAX(I16,0)-I17-MAX(I18/(1-Fin_Analysis!$F$84),0))</f>
        <v/>
      </c>
      <c r="J19" s="95" t="str">
        <f>IF(J6="","",J13-J14-MAX(J15,0)-MAX(J16,0)-J17-MAX(J18/(1-Fin_Analysis!$F$84),0))</f>
        <v/>
      </c>
      <c r="K19" s="95" t="str">
        <f>IF(K6="","",K13-K14-MAX(K15,0)-MAX(K16,0)-K17-MAX(K18/(1-Fin_Analysis!$F$84),0))</f>
        <v/>
      </c>
      <c r="L19" s="95" t="str">
        <f>IF(L6="","",L13-L14-MAX(L15,0)-MAX(L16,0)-L17-MAX(L18/(1-Fin_Analysis!$F$84),0))</f>
        <v/>
      </c>
      <c r="M19" s="95" t="str">
        <f>IF(M6="","",M13-M14-MAX(M15,0)-MAX(M16,0)-M17-MAX(M18/(1-Fin_Analysis!$F$84),0))</f>
        <v/>
      </c>
      <c r="N19" s="94"/>
    </row>
    <row r="20" spans="1:14" ht="15.75" customHeight="1" x14ac:dyDescent="0.15">
      <c r="A20" s="4"/>
      <c r="B20" s="109" t="s">
        <v>116</v>
      </c>
      <c r="C20" s="57">
        <f>IF(D19="","",IF(ABS(C19+D19)=ABS(C19)+ABS(D19),IF(C19&lt;0,-1,1)*(C19-D19)/D19,"Turn"))</f>
        <v>0.42741358552459391</v>
      </c>
      <c r="D20" s="57" t="str">
        <f t="shared" ref="D20:M20" si="5">IF(E19="","",IF(ABS(D19+E19)=ABS(D19)+ABS(E19),IF(D19&lt;0,-1,1)*(D19-E19)/E19,"Turn"))</f>
        <v/>
      </c>
      <c r="E20" s="57" t="str">
        <f t="shared" si="5"/>
        <v/>
      </c>
      <c r="F20" s="57" t="str">
        <f t="shared" si="5"/>
        <v/>
      </c>
      <c r="G20" s="57" t="str">
        <f t="shared" si="5"/>
        <v/>
      </c>
      <c r="H20" s="57" t="str">
        <f t="shared" si="5"/>
        <v/>
      </c>
      <c r="I20" s="57" t="str">
        <f t="shared" si="5"/>
        <v/>
      </c>
      <c r="J20" s="57" t="str">
        <f t="shared" si="5"/>
        <v/>
      </c>
      <c r="K20" s="57" t="str">
        <f t="shared" si="5"/>
        <v/>
      </c>
      <c r="L20" s="57" t="str">
        <f t="shared" si="5"/>
        <v/>
      </c>
      <c r="M20" s="57" t="str">
        <f t="shared" si="5"/>
        <v/>
      </c>
      <c r="N20" s="94"/>
    </row>
    <row r="21" spans="1:14" ht="15.75" customHeight="1" x14ac:dyDescent="0.15">
      <c r="A21" s="4"/>
      <c r="B21" s="111" t="s">
        <v>117</v>
      </c>
      <c r="C21" s="56">
        <f t="shared" ref="C21:M21" si="6">IF(C6="","",C22/C6)</f>
        <v>-3.226997605479371E-2</v>
      </c>
      <c r="D21" s="56">
        <f t="shared" si="6"/>
        <v>-8.5082113966376494E-2</v>
      </c>
      <c r="E21" s="56" t="str">
        <f t="shared" si="6"/>
        <v/>
      </c>
      <c r="F21" s="56" t="str">
        <f t="shared" si="6"/>
        <v/>
      </c>
      <c r="G21" s="56" t="str">
        <f t="shared" si="6"/>
        <v/>
      </c>
      <c r="H21" s="56" t="str">
        <f t="shared" si="6"/>
        <v/>
      </c>
      <c r="I21" s="56" t="str">
        <f t="shared" si="6"/>
        <v/>
      </c>
      <c r="J21" s="56" t="str">
        <f t="shared" si="6"/>
        <v/>
      </c>
      <c r="K21" s="56" t="str">
        <f t="shared" si="6"/>
        <v/>
      </c>
      <c r="L21" s="56" t="str">
        <f t="shared" si="6"/>
        <v/>
      </c>
      <c r="M21" s="56" t="str">
        <f t="shared" si="6"/>
        <v/>
      </c>
      <c r="N21" s="94"/>
    </row>
    <row r="22" spans="1:14" ht="15.75" customHeight="1" x14ac:dyDescent="0.15">
      <c r="A22" s="4"/>
      <c r="B22" s="113" t="s">
        <v>118</v>
      </c>
      <c r="C22" s="102">
        <f>IF(C6="","",C19*(1-Fin_Analysis!$F$84))</f>
        <v>-98446.5</v>
      </c>
      <c r="D22" s="95">
        <f>IF(D6="","",D19*(1-Fin_Analysis!$F$84))</f>
        <v>-171933</v>
      </c>
      <c r="E22" s="95" t="str">
        <f>IF(E6="","",E19*(1-Fin_Analysis!$F$84))</f>
        <v/>
      </c>
      <c r="F22" s="95" t="str">
        <f>IF(F6="","",F19*(1-Fin_Analysis!$F$84))</f>
        <v/>
      </c>
      <c r="G22" s="95" t="str">
        <f>IF(G6="","",G19*(1-Fin_Analysis!$F$84))</f>
        <v/>
      </c>
      <c r="H22" s="95" t="str">
        <f>IF(H6="","",H19*(1-Fin_Analysis!$F$84))</f>
        <v/>
      </c>
      <c r="I22" s="95" t="str">
        <f>IF(I6="","",I19*(1-Fin_Analysis!$F$84))</f>
        <v/>
      </c>
      <c r="J22" s="95" t="str">
        <f>IF(J6="","",J19*(1-Fin_Analysis!$F$84))</f>
        <v/>
      </c>
      <c r="K22" s="95" t="str">
        <f>IF(K6="","",K19*(1-Fin_Analysis!$F$84))</f>
        <v/>
      </c>
      <c r="L22" s="95" t="str">
        <f>IF(L6="","",L19*(1-Fin_Analysis!$F$84))</f>
        <v/>
      </c>
      <c r="M22" s="95" t="str">
        <f>IF(M6="","",M19*(1-Fin_Analysis!$F$84))</f>
        <v/>
      </c>
      <c r="N22" s="94"/>
    </row>
    <row r="23" spans="1:14" ht="15.75" customHeight="1" thickBot="1" x14ac:dyDescent="0.2">
      <c r="A23" s="4"/>
      <c r="B23" s="112" t="s">
        <v>138</v>
      </c>
      <c r="C23" s="80">
        <f>IF(D22="","",IF(ABS(C22+D22)=ABS(C22)+ABS(D22),IF(C22&lt;0,-1,1)*(C22-D22)/D22,"Turn"))</f>
        <v>0.42741358552459391</v>
      </c>
      <c r="D23" s="80" t="str">
        <f t="shared" ref="D23:M23" si="7">IF(E22="","",IF(ABS(D22+E22)=ABS(D22)+ABS(E22),IF(D22&lt;0,-1,1)*(D22-E22)/E22,"Turn"))</f>
        <v/>
      </c>
      <c r="E23" s="80" t="str">
        <f t="shared" si="7"/>
        <v/>
      </c>
      <c r="F23" s="80" t="str">
        <f t="shared" si="7"/>
        <v/>
      </c>
      <c r="G23" s="80" t="str">
        <f t="shared" si="7"/>
        <v/>
      </c>
      <c r="H23" s="80" t="str">
        <f t="shared" si="7"/>
        <v/>
      </c>
      <c r="I23" s="80" t="str">
        <f t="shared" si="7"/>
        <v/>
      </c>
      <c r="J23" s="80" t="str">
        <f t="shared" si="7"/>
        <v/>
      </c>
      <c r="K23" s="80" t="str">
        <f t="shared" si="7"/>
        <v/>
      </c>
      <c r="L23" s="80" t="str">
        <f t="shared" si="7"/>
        <v/>
      </c>
      <c r="M23" s="80" t="str">
        <f t="shared" si="7"/>
        <v/>
      </c>
      <c r="N23" s="94"/>
    </row>
    <row r="24" spans="1:14" ht="15.75" customHeight="1" thickTop="1" x14ac:dyDescent="0.15">
      <c r="A24" s="16"/>
      <c r="B24" s="138" t="s">
        <v>147</v>
      </c>
      <c r="C24" s="48">
        <f>Fin_Analysis!D9</f>
        <v>45473</v>
      </c>
      <c r="D24" s="49">
        <f>D5</f>
        <v>44926</v>
      </c>
      <c r="E24" s="49">
        <f t="shared" ref="E24" si="8">EOMONTH(EDATE(D24,-12),0)</f>
        <v>44561</v>
      </c>
      <c r="F24" s="49">
        <f t="shared" ref="F24" si="9">EOMONTH(EDATE(E24,-12),0)</f>
        <v>44196</v>
      </c>
      <c r="G24" s="49">
        <f t="shared" ref="G24" si="10">EOMONTH(EDATE(F24,-12),0)</f>
        <v>43830</v>
      </c>
      <c r="H24" s="49">
        <f t="shared" ref="H24" si="11">EOMONTH(EDATE(G24,-12),0)</f>
        <v>43465</v>
      </c>
      <c r="I24" s="49">
        <f t="shared" ref="I24" si="12">EOMONTH(EDATE(H24,-12),0)</f>
        <v>43100</v>
      </c>
      <c r="J24" s="49">
        <f t="shared" ref="J24" si="13">EOMONTH(EDATE(I24,-12),0)</f>
        <v>42735</v>
      </c>
      <c r="K24" s="49">
        <f t="shared" ref="K24" si="14">EOMONTH(EDATE(J24,-12),0)</f>
        <v>42369</v>
      </c>
      <c r="L24" s="49">
        <f t="shared" ref="L24" si="15">EOMONTH(EDATE(K24,-12),0)</f>
        <v>42004</v>
      </c>
      <c r="M24" s="49">
        <f t="shared" ref="M24" si="16">EOMONTH(EDATE(L24,-12),0)</f>
        <v>41639</v>
      </c>
      <c r="N24" s="94"/>
    </row>
    <row r="25" spans="1:14" ht="15.75" customHeight="1" x14ac:dyDescent="0.15">
      <c r="A25" s="4"/>
      <c r="B25" s="105" t="s">
        <v>14</v>
      </c>
      <c r="C25" s="41">
        <f t="shared" ref="C25:M25" si="17">IF(C6="","",C34+C29+C30)</f>
        <v>16854064</v>
      </c>
      <c r="D25" s="41">
        <f t="shared" si="17"/>
        <v>0</v>
      </c>
      <c r="E25" s="41" t="str">
        <f t="shared" si="17"/>
        <v/>
      </c>
      <c r="F25" s="41" t="str">
        <f t="shared" si="17"/>
        <v/>
      </c>
      <c r="G25" s="41" t="str">
        <f t="shared" si="17"/>
        <v/>
      </c>
      <c r="H25" s="41" t="str">
        <f t="shared" si="17"/>
        <v/>
      </c>
      <c r="I25" s="41" t="str">
        <f t="shared" si="17"/>
        <v/>
      </c>
      <c r="J25" s="41" t="str">
        <f t="shared" si="17"/>
        <v/>
      </c>
      <c r="K25" s="41" t="str">
        <f t="shared" si="17"/>
        <v/>
      </c>
      <c r="L25" s="41" t="str">
        <f t="shared" si="17"/>
        <v/>
      </c>
      <c r="M25" s="41" t="str">
        <f t="shared" si="17"/>
        <v/>
      </c>
      <c r="N25" s="94"/>
    </row>
    <row r="26" spans="1:14" ht="15.75" customHeight="1" x14ac:dyDescent="0.15">
      <c r="A26" s="4"/>
      <c r="B26" s="105" t="s">
        <v>15</v>
      </c>
      <c r="C26" s="41">
        <f>Fin_Analysis!C28</f>
        <v>12332308</v>
      </c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4"/>
    </row>
    <row r="27" spans="1:14" ht="15.75" customHeight="1" x14ac:dyDescent="0.15">
      <c r="A27" s="4"/>
      <c r="B27" s="105" t="s">
        <v>121</v>
      </c>
      <c r="C27" s="41">
        <f>Fin_Analysis!C13</f>
        <v>265773</v>
      </c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4"/>
    </row>
    <row r="28" spans="1:14" ht="15.75" customHeight="1" x14ac:dyDescent="0.15">
      <c r="A28" s="4"/>
      <c r="B28" s="105" t="s">
        <v>161</v>
      </c>
      <c r="C28" s="41">
        <f>Fin_Analysis!C18</f>
        <v>9672256</v>
      </c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4"/>
    </row>
    <row r="29" spans="1:14" ht="15.75" customHeight="1" x14ac:dyDescent="0.15">
      <c r="A29" s="4"/>
      <c r="B29" s="105" t="s">
        <v>16</v>
      </c>
      <c r="C29" s="41">
        <f>Fin_Analysis!I28</f>
        <v>3516809</v>
      </c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4"/>
    </row>
    <row r="30" spans="1:14" ht="15.75" customHeight="1" x14ac:dyDescent="0.15">
      <c r="A30" s="4"/>
      <c r="B30" s="105" t="s">
        <v>120</v>
      </c>
      <c r="C30" s="41">
        <f>Fin_Analysis!I48</f>
        <v>473357</v>
      </c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4"/>
    </row>
    <row r="31" spans="1:14" ht="15.5" customHeight="1" x14ac:dyDescent="0.15">
      <c r="A31" s="4"/>
      <c r="B31" s="105" t="s">
        <v>17</v>
      </c>
      <c r="C31" s="41">
        <f>Fin_Analysis!I15</f>
        <v>649697</v>
      </c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4"/>
    </row>
    <row r="32" spans="1:14" ht="15.75" customHeight="1" x14ac:dyDescent="0.15">
      <c r="A32" s="4"/>
      <c r="B32" s="105" t="s">
        <v>18</v>
      </c>
      <c r="C32" s="41">
        <f>Fin_Analysis!I34</f>
        <v>319420</v>
      </c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4"/>
    </row>
    <row r="33" spans="1:14" ht="15.75" customHeight="1" x14ac:dyDescent="0.15">
      <c r="A33" s="4"/>
      <c r="B33" s="105" t="s">
        <v>19</v>
      </c>
      <c r="C33" s="95">
        <f t="shared" ref="C33:M33" si="18">IF(C6="","",C31+C32)</f>
        <v>969117</v>
      </c>
      <c r="D33" s="95">
        <f t="shared" si="18"/>
        <v>0</v>
      </c>
      <c r="E33" s="95" t="str">
        <f t="shared" si="18"/>
        <v/>
      </c>
      <c r="F33" s="95" t="str">
        <f t="shared" si="18"/>
        <v/>
      </c>
      <c r="G33" s="95" t="str">
        <f t="shared" si="18"/>
        <v/>
      </c>
      <c r="H33" s="95" t="str">
        <f t="shared" si="18"/>
        <v/>
      </c>
      <c r="I33" s="95" t="str">
        <f t="shared" si="18"/>
        <v/>
      </c>
      <c r="J33" s="95" t="str">
        <f t="shared" si="18"/>
        <v/>
      </c>
      <c r="K33" s="95" t="str">
        <f t="shared" si="18"/>
        <v/>
      </c>
      <c r="L33" s="95" t="str">
        <f t="shared" si="18"/>
        <v/>
      </c>
      <c r="M33" s="95" t="str">
        <f t="shared" si="18"/>
        <v/>
      </c>
      <c r="N33" s="94"/>
    </row>
    <row r="34" spans="1:14" ht="15.75" customHeight="1" x14ac:dyDescent="0.15">
      <c r="A34" s="4"/>
      <c r="B34" s="105" t="s">
        <v>150</v>
      </c>
      <c r="C34" s="41">
        <f>Fin_Analysis!D3</f>
        <v>12863898</v>
      </c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4"/>
    </row>
    <row r="35" spans="1:14" ht="15.75" customHeight="1" x14ac:dyDescent="0.15">
      <c r="A35" s="4"/>
      <c r="B35" s="105" t="s">
        <v>151</v>
      </c>
      <c r="C35" s="41">
        <f>Fin_Analysis!D4</f>
        <v>-26962</v>
      </c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4"/>
    </row>
    <row r="36" spans="1:14" ht="15.75" customHeight="1" x14ac:dyDescent="0.15">
      <c r="A36" s="4"/>
      <c r="B36" s="105" t="s">
        <v>149</v>
      </c>
      <c r="C36" s="41">
        <f>Fin_Analysis!C63</f>
        <v>2923945</v>
      </c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4"/>
    </row>
    <row r="37" spans="1:14" ht="15.75" customHeight="1" x14ac:dyDescent="0.15">
      <c r="A37" s="4"/>
      <c r="B37" s="105" t="s">
        <v>153</v>
      </c>
      <c r="C37" s="41">
        <f>Fin_Analysis!C68</f>
        <v>13930119</v>
      </c>
      <c r="D37" s="41">
        <f t="shared" ref="D37:M37" si="19">IF(D6="","",D25-D36)</f>
        <v>0</v>
      </c>
      <c r="E37" s="41" t="str">
        <f t="shared" si="19"/>
        <v/>
      </c>
      <c r="F37" s="41" t="str">
        <f t="shared" si="19"/>
        <v/>
      </c>
      <c r="G37" s="41" t="str">
        <f t="shared" si="19"/>
        <v/>
      </c>
      <c r="H37" s="41" t="str">
        <f t="shared" si="19"/>
        <v/>
      </c>
      <c r="I37" s="41" t="str">
        <f t="shared" si="19"/>
        <v/>
      </c>
      <c r="J37" s="41" t="str">
        <f t="shared" si="19"/>
        <v/>
      </c>
      <c r="K37" s="41" t="str">
        <f t="shared" si="19"/>
        <v/>
      </c>
      <c r="L37" s="41" t="str">
        <f t="shared" si="19"/>
        <v/>
      </c>
      <c r="M37" s="41" t="str">
        <f t="shared" si="19"/>
        <v/>
      </c>
      <c r="N37" s="94"/>
    </row>
    <row r="38" spans="1:14" ht="15.75" customHeight="1" x14ac:dyDescent="0.15">
      <c r="A38" s="4"/>
      <c r="B38" s="109" t="s">
        <v>171</v>
      </c>
      <c r="C38" s="104">
        <f>IF(C6="","",C19/C37)</f>
        <v>-9.4228915058083857E-3</v>
      </c>
      <c r="D38" s="104" t="e">
        <f t="shared" ref="D38:M38" si="20">IF(D6="","",D19/D37)</f>
        <v>#DIV/0!</v>
      </c>
      <c r="E38" s="104" t="str">
        <f t="shared" si="20"/>
        <v/>
      </c>
      <c r="F38" s="104" t="str">
        <f t="shared" si="20"/>
        <v/>
      </c>
      <c r="G38" s="104" t="str">
        <f t="shared" si="20"/>
        <v/>
      </c>
      <c r="H38" s="104" t="str">
        <f t="shared" si="20"/>
        <v/>
      </c>
      <c r="I38" s="104" t="str">
        <f t="shared" si="20"/>
        <v/>
      </c>
      <c r="J38" s="104" t="str">
        <f t="shared" si="20"/>
        <v/>
      </c>
      <c r="K38" s="104" t="str">
        <f t="shared" si="20"/>
        <v/>
      </c>
      <c r="L38" s="104" t="str">
        <f t="shared" si="20"/>
        <v/>
      </c>
      <c r="M38" s="104" t="str">
        <f t="shared" si="20"/>
        <v/>
      </c>
      <c r="N38" s="94"/>
    </row>
    <row r="39" spans="1:14" ht="15.75" customHeight="1" x14ac:dyDescent="0.15">
      <c r="A39" s="16"/>
      <c r="B39" s="55" t="s">
        <v>132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94"/>
    </row>
    <row r="40" spans="1:14" ht="15.75" customHeight="1" x14ac:dyDescent="0.15">
      <c r="A40" s="4"/>
      <c r="B40" s="106" t="s">
        <v>99</v>
      </c>
      <c r="C40" s="61">
        <f t="shared" ref="C40:M40" si="21">IF(C6="","",C8/C6)</f>
        <v>0.8448760372568398</v>
      </c>
      <c r="D40" s="61">
        <f t="shared" si="21"/>
        <v>0.87913483297860395</v>
      </c>
      <c r="E40" s="61" t="str">
        <f t="shared" si="21"/>
        <v/>
      </c>
      <c r="F40" s="61" t="str">
        <f t="shared" si="21"/>
        <v/>
      </c>
      <c r="G40" s="61" t="str">
        <f t="shared" si="21"/>
        <v/>
      </c>
      <c r="H40" s="61" t="str">
        <f t="shared" si="21"/>
        <v/>
      </c>
      <c r="I40" s="61" t="str">
        <f t="shared" si="21"/>
        <v/>
      </c>
      <c r="J40" s="61" t="str">
        <f t="shared" si="21"/>
        <v/>
      </c>
      <c r="K40" s="61" t="str">
        <f t="shared" si="21"/>
        <v/>
      </c>
      <c r="L40" s="61" t="str">
        <f t="shared" si="21"/>
        <v/>
      </c>
      <c r="M40" s="61" t="str">
        <f t="shared" si="21"/>
        <v/>
      </c>
      <c r="N40" s="94"/>
    </row>
    <row r="41" spans="1:14" ht="15.75" customHeight="1" x14ac:dyDescent="0.15">
      <c r="A41" s="4"/>
      <c r="B41" s="105" t="s">
        <v>126</v>
      </c>
      <c r="C41" s="56">
        <f t="shared" ref="C41:M41" si="22">IF(C6="","",(C10-C12)/C6)</f>
        <v>0.18023840312844694</v>
      </c>
      <c r="D41" s="56">
        <f t="shared" si="22"/>
        <v>0.19555035186751313</v>
      </c>
      <c r="E41" s="56" t="str">
        <f t="shared" si="22"/>
        <v/>
      </c>
      <c r="F41" s="56" t="str">
        <f t="shared" si="22"/>
        <v/>
      </c>
      <c r="G41" s="56" t="str">
        <f t="shared" si="22"/>
        <v/>
      </c>
      <c r="H41" s="56" t="str">
        <f t="shared" si="22"/>
        <v/>
      </c>
      <c r="I41" s="56" t="str">
        <f t="shared" si="22"/>
        <v/>
      </c>
      <c r="J41" s="56" t="str">
        <f t="shared" si="22"/>
        <v/>
      </c>
      <c r="K41" s="56" t="str">
        <f t="shared" si="22"/>
        <v/>
      </c>
      <c r="L41" s="56" t="str">
        <f t="shared" si="22"/>
        <v/>
      </c>
      <c r="M41" s="56" t="str">
        <f t="shared" si="22"/>
        <v/>
      </c>
      <c r="N41" s="94"/>
    </row>
    <row r="42" spans="1:14" ht="15.75" customHeight="1" x14ac:dyDescent="0.15">
      <c r="A42" s="4"/>
      <c r="B42" s="105" t="s">
        <v>101</v>
      </c>
      <c r="C42" s="56">
        <f t="shared" ref="C42:M42" si="23">IF(C6="","",(C14+MAX(C15,0))/C6)</f>
        <v>0</v>
      </c>
      <c r="D42" s="56">
        <f t="shared" si="23"/>
        <v>0</v>
      </c>
      <c r="E42" s="56" t="str">
        <f t="shared" si="23"/>
        <v/>
      </c>
      <c r="F42" s="56" t="str">
        <f t="shared" si="23"/>
        <v/>
      </c>
      <c r="G42" s="56" t="str">
        <f t="shared" si="23"/>
        <v/>
      </c>
      <c r="H42" s="56" t="str">
        <f t="shared" si="23"/>
        <v/>
      </c>
      <c r="I42" s="56" t="str">
        <f t="shared" si="23"/>
        <v/>
      </c>
      <c r="J42" s="56" t="str">
        <f t="shared" si="23"/>
        <v/>
      </c>
      <c r="K42" s="56" t="str">
        <f t="shared" si="23"/>
        <v/>
      </c>
      <c r="L42" s="56" t="str">
        <f t="shared" si="23"/>
        <v/>
      </c>
      <c r="M42" s="56" t="str">
        <f t="shared" si="23"/>
        <v/>
      </c>
      <c r="N42" s="94"/>
    </row>
    <row r="43" spans="1:14" ht="15.75" customHeight="1" x14ac:dyDescent="0.15">
      <c r="A43" s="4"/>
      <c r="B43" s="105" t="s">
        <v>112</v>
      </c>
      <c r="C43" s="56">
        <f t="shared" ref="C43:M43" si="24">IF(C6="","",MAX(C16,0)/C6)</f>
        <v>0</v>
      </c>
      <c r="D43" s="56">
        <f t="shared" si="24"/>
        <v>0</v>
      </c>
      <c r="E43" s="56" t="str">
        <f t="shared" si="24"/>
        <v/>
      </c>
      <c r="F43" s="56" t="str">
        <f t="shared" si="24"/>
        <v/>
      </c>
      <c r="G43" s="56" t="str">
        <f t="shared" si="24"/>
        <v/>
      </c>
      <c r="H43" s="56" t="str">
        <f t="shared" si="24"/>
        <v/>
      </c>
      <c r="I43" s="56" t="str">
        <f t="shared" si="24"/>
        <v/>
      </c>
      <c r="J43" s="56" t="str">
        <f t="shared" si="24"/>
        <v/>
      </c>
      <c r="K43" s="56" t="str">
        <f t="shared" si="24"/>
        <v/>
      </c>
      <c r="L43" s="56" t="str">
        <f t="shared" si="24"/>
        <v/>
      </c>
      <c r="M43" s="56" t="str">
        <f t="shared" si="24"/>
        <v/>
      </c>
      <c r="N43" s="94"/>
    </row>
    <row r="44" spans="1:14" ht="15.75" customHeight="1" x14ac:dyDescent="0.15">
      <c r="A44" s="4"/>
      <c r="B44" s="105" t="s">
        <v>127</v>
      </c>
      <c r="C44" s="56">
        <f t="shared" ref="C44:M44" si="25">IF(C6="","",C17/C6)</f>
        <v>1.7912194354438221E-2</v>
      </c>
      <c r="D44" s="56">
        <f t="shared" si="25"/>
        <v>3.8757633775718295E-2</v>
      </c>
      <c r="E44" s="56" t="str">
        <f t="shared" si="25"/>
        <v/>
      </c>
      <c r="F44" s="56" t="str">
        <f t="shared" si="25"/>
        <v/>
      </c>
      <c r="G44" s="56" t="str">
        <f t="shared" si="25"/>
        <v/>
      </c>
      <c r="H44" s="56" t="str">
        <f t="shared" si="25"/>
        <v/>
      </c>
      <c r="I44" s="56" t="str">
        <f t="shared" si="25"/>
        <v/>
      </c>
      <c r="J44" s="56" t="str">
        <f t="shared" si="25"/>
        <v/>
      </c>
      <c r="K44" s="56" t="str">
        <f t="shared" si="25"/>
        <v/>
      </c>
      <c r="L44" s="56" t="str">
        <f t="shared" si="25"/>
        <v/>
      </c>
      <c r="M44" s="56" t="str">
        <f t="shared" si="25"/>
        <v/>
      </c>
      <c r="N44" s="94"/>
    </row>
    <row r="45" spans="1:14" ht="15.75" customHeight="1" x14ac:dyDescent="0.15">
      <c r="A45" s="4"/>
      <c r="B45" s="105" t="s">
        <v>139</v>
      </c>
      <c r="C45" s="56">
        <f>IF(C6="","",MAX(C18,0)/(1-Fin_Analysis!$F$84)/C6)</f>
        <v>0</v>
      </c>
      <c r="D45" s="56">
        <f>IF(D6="","",MAX(D18,0)/(1-Fin_Analysis!$F$84)/D6)</f>
        <v>0</v>
      </c>
      <c r="E45" s="56" t="str">
        <f>IF(E6="","",MAX(E18,0)/(1-Fin_Analysis!$F$84)/E6)</f>
        <v/>
      </c>
      <c r="F45" s="56" t="str">
        <f>IF(F6="","",MAX(F18,0)/(1-Fin_Analysis!$F$84)/F6)</f>
        <v/>
      </c>
      <c r="G45" s="56" t="str">
        <f>IF(G6="","",MAX(G18,0)/(1-Fin_Analysis!$F$84)/G6)</f>
        <v/>
      </c>
      <c r="H45" s="56" t="str">
        <f>IF(H6="","",MAX(H18,0)/(1-Fin_Analysis!$F$84)/H6)</f>
        <v/>
      </c>
      <c r="I45" s="56" t="str">
        <f>IF(I6="","",MAX(I18,0)/(1-Fin_Analysis!$F$84)/I6)</f>
        <v/>
      </c>
      <c r="J45" s="56" t="str">
        <f>IF(J6="","",MAX(J18,0)/(1-Fin_Analysis!$F$84)/J6)</f>
        <v/>
      </c>
      <c r="K45" s="56" t="str">
        <f>IF(K6="","",MAX(K18,0)/(1-Fin_Analysis!$F$84)/K6)</f>
        <v/>
      </c>
      <c r="L45" s="56" t="str">
        <f>IF(L6="","",MAX(L18,0)/(1-Fin_Analysis!$F$84)/L6)</f>
        <v/>
      </c>
      <c r="M45" s="56" t="str">
        <f>IF(M6="","",MAX(M18,0)/(1-Fin_Analysis!$F$84)/M6)</f>
        <v/>
      </c>
      <c r="N45" s="94"/>
    </row>
    <row r="46" spans="1:14" ht="15.75" customHeight="1" x14ac:dyDescent="0.15">
      <c r="A46" s="4"/>
      <c r="B46" s="105" t="s">
        <v>130</v>
      </c>
      <c r="C46" s="56">
        <f t="shared" ref="C46:M46" si="26">IF(C6="","",C19/C6)</f>
        <v>-4.3026634739724949E-2</v>
      </c>
      <c r="D46" s="56">
        <f t="shared" si="26"/>
        <v>-0.11344281862183533</v>
      </c>
      <c r="E46" s="56" t="str">
        <f t="shared" si="26"/>
        <v/>
      </c>
      <c r="F46" s="56" t="str">
        <f t="shared" si="26"/>
        <v/>
      </c>
      <c r="G46" s="56" t="str">
        <f t="shared" si="26"/>
        <v/>
      </c>
      <c r="H46" s="56" t="str">
        <f t="shared" si="26"/>
        <v/>
      </c>
      <c r="I46" s="56" t="str">
        <f t="shared" si="26"/>
        <v/>
      </c>
      <c r="J46" s="56" t="str">
        <f t="shared" si="26"/>
        <v/>
      </c>
      <c r="K46" s="56" t="str">
        <f t="shared" si="26"/>
        <v/>
      </c>
      <c r="L46" s="56" t="str">
        <f t="shared" si="26"/>
        <v/>
      </c>
      <c r="M46" s="56" t="str">
        <f t="shared" si="26"/>
        <v/>
      </c>
      <c r="N46" s="94"/>
    </row>
    <row r="47" spans="1:14" ht="15.75" customHeight="1" x14ac:dyDescent="0.15">
      <c r="A47" s="16"/>
      <c r="B47" s="114" t="s">
        <v>162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94"/>
    </row>
    <row r="48" spans="1:14" ht="15.75" customHeight="1" x14ac:dyDescent="0.15">
      <c r="A48" s="4"/>
      <c r="B48" s="106" t="s">
        <v>159</v>
      </c>
      <c r="C48" s="61">
        <f t="shared" ref="C48:M48" si="27">IF(C6="","",C27/C6)</f>
        <v>8.7118265718036589E-2</v>
      </c>
      <c r="D48" s="61">
        <f t="shared" si="27"/>
        <v>0</v>
      </c>
      <c r="E48" s="61" t="str">
        <f t="shared" si="27"/>
        <v/>
      </c>
      <c r="F48" s="61" t="str">
        <f t="shared" si="27"/>
        <v/>
      </c>
      <c r="G48" s="61" t="str">
        <f t="shared" si="27"/>
        <v/>
      </c>
      <c r="H48" s="61" t="str">
        <f t="shared" si="27"/>
        <v/>
      </c>
      <c r="I48" s="61" t="str">
        <f t="shared" si="27"/>
        <v/>
      </c>
      <c r="J48" s="61" t="str">
        <f t="shared" si="27"/>
        <v/>
      </c>
      <c r="K48" s="61" t="str">
        <f t="shared" si="27"/>
        <v/>
      </c>
      <c r="L48" s="61" t="str">
        <f t="shared" si="27"/>
        <v/>
      </c>
      <c r="M48" s="61" t="str">
        <f t="shared" si="27"/>
        <v/>
      </c>
      <c r="N48" s="94"/>
    </row>
    <row r="49" spans="1:14" ht="15.75" customHeight="1" x14ac:dyDescent="0.15">
      <c r="A49" s="4"/>
      <c r="B49" s="105" t="s">
        <v>160</v>
      </c>
      <c r="C49" s="56">
        <f t="shared" ref="C49:M49" si="28">IF(C6="","",C28/C6)</f>
        <v>3.1704882298084218</v>
      </c>
      <c r="D49" s="56">
        <f t="shared" si="28"/>
        <v>0</v>
      </c>
      <c r="E49" s="56" t="str">
        <f t="shared" si="28"/>
        <v/>
      </c>
      <c r="F49" s="56" t="str">
        <f t="shared" si="28"/>
        <v/>
      </c>
      <c r="G49" s="56" t="str">
        <f t="shared" si="28"/>
        <v/>
      </c>
      <c r="H49" s="56" t="str">
        <f t="shared" si="28"/>
        <v/>
      </c>
      <c r="I49" s="56" t="str">
        <f t="shared" si="28"/>
        <v/>
      </c>
      <c r="J49" s="56" t="str">
        <f t="shared" si="28"/>
        <v/>
      </c>
      <c r="K49" s="56" t="str">
        <f t="shared" si="28"/>
        <v/>
      </c>
      <c r="L49" s="56" t="str">
        <f t="shared" si="28"/>
        <v/>
      </c>
      <c r="M49" s="56" t="str">
        <f t="shared" si="28"/>
        <v/>
      </c>
      <c r="N49" s="94"/>
    </row>
    <row r="50" spans="1:14" ht="15.75" customHeight="1" x14ac:dyDescent="0.15">
      <c r="A50" s="16"/>
      <c r="B50" s="114" t="s">
        <v>131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4" ht="15.75" customHeight="1" x14ac:dyDescent="0.15">
      <c r="A51" s="4"/>
      <c r="B51" s="106" t="s">
        <v>20</v>
      </c>
      <c r="C51" s="61">
        <f>IF(C34="","",(C25-C34)/C25)</f>
        <v>0.23674800333023538</v>
      </c>
      <c r="D51" s="61" t="str">
        <f t="shared" ref="D51:M51" si="29">IF(D34="","",(D25-D34)/D25)</f>
        <v/>
      </c>
      <c r="E51" s="61" t="str">
        <f t="shared" si="29"/>
        <v/>
      </c>
      <c r="F51" s="61" t="str">
        <f t="shared" si="29"/>
        <v/>
      </c>
      <c r="G51" s="61" t="str">
        <f t="shared" si="29"/>
        <v/>
      </c>
      <c r="H51" s="61" t="str">
        <f t="shared" si="29"/>
        <v/>
      </c>
      <c r="I51" s="61" t="str">
        <f t="shared" si="29"/>
        <v/>
      </c>
      <c r="J51" s="61" t="str">
        <f t="shared" si="29"/>
        <v/>
      </c>
      <c r="K51" s="61" t="str">
        <f t="shared" si="29"/>
        <v/>
      </c>
      <c r="L51" s="61" t="str">
        <f t="shared" si="29"/>
        <v/>
      </c>
      <c r="M51" s="61" t="str">
        <f t="shared" si="29"/>
        <v/>
      </c>
    </row>
    <row r="52" spans="1:14" ht="15.75" customHeight="1" x14ac:dyDescent="0.15">
      <c r="A52" s="4"/>
      <c r="B52" s="105" t="s">
        <v>125</v>
      </c>
      <c r="C52" s="60">
        <f t="shared" ref="C52:M52" si="30">IF(C19="","",IF(C33&lt;=0,"-",C19/C33))</f>
        <v>-0.13544494627583667</v>
      </c>
      <c r="D52" s="60" t="str">
        <f t="shared" si="30"/>
        <v>-</v>
      </c>
      <c r="E52" s="60" t="str">
        <f t="shared" si="30"/>
        <v/>
      </c>
      <c r="F52" s="60" t="str">
        <f t="shared" si="30"/>
        <v/>
      </c>
      <c r="G52" s="60" t="str">
        <f t="shared" si="30"/>
        <v/>
      </c>
      <c r="H52" s="60" t="str">
        <f t="shared" si="30"/>
        <v/>
      </c>
      <c r="I52" s="60" t="str">
        <f t="shared" si="30"/>
        <v/>
      </c>
      <c r="J52" s="60" t="str">
        <f t="shared" si="30"/>
        <v/>
      </c>
      <c r="K52" s="60" t="str">
        <f t="shared" si="30"/>
        <v/>
      </c>
      <c r="L52" s="60" t="str">
        <f t="shared" si="30"/>
        <v/>
      </c>
      <c r="M52" s="60" t="str">
        <f t="shared" si="30"/>
        <v/>
      </c>
    </row>
    <row r="53" spans="1:14" ht="15.75" customHeight="1" x14ac:dyDescent="0.15">
      <c r="A53" s="4"/>
      <c r="B53" s="105" t="s">
        <v>128</v>
      </c>
      <c r="C53" s="56">
        <f t="shared" ref="C53:M53" si="31">IF(C19="","",IF(C17&lt;=0,"-",C17/C19))</f>
        <v>-0.41630479499017231</v>
      </c>
      <c r="D53" s="56">
        <f t="shared" si="31"/>
        <v>-0.34164907260386312</v>
      </c>
      <c r="E53" s="56" t="str">
        <f t="shared" si="31"/>
        <v/>
      </c>
      <c r="F53" s="56" t="str">
        <f t="shared" si="31"/>
        <v/>
      </c>
      <c r="G53" s="56" t="str">
        <f t="shared" si="31"/>
        <v/>
      </c>
      <c r="H53" s="56" t="str">
        <f t="shared" si="31"/>
        <v/>
      </c>
      <c r="I53" s="56" t="str">
        <f t="shared" si="31"/>
        <v/>
      </c>
      <c r="J53" s="56" t="str">
        <f t="shared" si="31"/>
        <v/>
      </c>
      <c r="K53" s="56" t="str">
        <f t="shared" si="31"/>
        <v/>
      </c>
      <c r="L53" s="56" t="str">
        <f t="shared" si="31"/>
        <v/>
      </c>
      <c r="M53" s="56" t="str">
        <f t="shared" si="31"/>
        <v/>
      </c>
    </row>
    <row r="54" spans="1:14" ht="15.75" customHeight="1" x14ac:dyDescent="0.15">
      <c r="A54" s="4"/>
      <c r="B54" s="109" t="s">
        <v>21</v>
      </c>
      <c r="C54" s="62">
        <f t="shared" ref="C54:M54" si="32">IF(C26="","",C26/C29)</f>
        <v>3.5066755118062995</v>
      </c>
      <c r="D54" s="62" t="str">
        <f t="shared" si="32"/>
        <v/>
      </c>
      <c r="E54" s="62" t="str">
        <f t="shared" si="32"/>
        <v/>
      </c>
      <c r="F54" s="62" t="str">
        <f t="shared" si="32"/>
        <v/>
      </c>
      <c r="G54" s="62" t="str">
        <f t="shared" si="32"/>
        <v/>
      </c>
      <c r="H54" s="62" t="str">
        <f t="shared" si="32"/>
        <v/>
      </c>
      <c r="I54" s="62" t="str">
        <f t="shared" si="32"/>
        <v/>
      </c>
      <c r="J54" s="62" t="str">
        <f t="shared" si="32"/>
        <v/>
      </c>
      <c r="K54" s="62" t="str">
        <f t="shared" si="32"/>
        <v/>
      </c>
      <c r="L54" s="62" t="str">
        <f t="shared" si="32"/>
        <v/>
      </c>
      <c r="M54" s="62" t="str">
        <f t="shared" si="32"/>
        <v/>
      </c>
    </row>
    <row r="55" spans="1:14" ht="15.75" customHeight="1" x14ac:dyDescent="0.15"/>
    <row r="56" spans="1:14" ht="15.75" customHeight="1" x14ac:dyDescent="0.15">
      <c r="A56" s="4"/>
    </row>
    <row r="57" spans="1:14" ht="15.75" customHeight="1" x14ac:dyDescent="0.15">
      <c r="A57" s="4"/>
    </row>
    <row r="58" spans="1:14" ht="15.75" customHeight="1" x14ac:dyDescent="0.15">
      <c r="A58" s="4"/>
    </row>
    <row r="59" spans="1:14" ht="15.75" customHeight="1" x14ac:dyDescent="0.15">
      <c r="A59" s="4"/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/>
    <row r="247" spans="1:1" ht="15.75" customHeight="1" x14ac:dyDescent="0.15"/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</sheetData>
  <phoneticPr fontId="20" type="noConversion"/>
  <conditionalFormatting sqref="C6:M21 C25:M38">
    <cfRule type="containsBlanks" dxfId="6" priority="3">
      <formula>LEN(TRIM(C6))=0</formula>
    </cfRule>
  </conditionalFormatting>
  <conditionalFormatting sqref="C23:M23">
    <cfRule type="containsBlanks" dxfId="5" priority="2">
      <formula>LEN(TRIM(C23))=0</formula>
    </cfRule>
  </conditionalFormatting>
  <conditionalFormatting sqref="D22:M22">
    <cfRule type="containsBlanks" dxfId="4" priority="1">
      <formula>LEN(TRIM(D22))=0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6"/>
  <sheetViews>
    <sheetView showGridLines="0" topLeftCell="A70" zoomScaleNormal="100" workbookViewId="0">
      <selection activeCell="C88" sqref="C88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8.6640625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22</v>
      </c>
      <c r="C2" s="45"/>
      <c r="D2" s="68"/>
      <c r="E2" s="94"/>
      <c r="F2" s="7"/>
      <c r="G2" s="7"/>
      <c r="H2" s="7"/>
      <c r="I2" s="94"/>
      <c r="K2" s="50" t="s">
        <v>8</v>
      </c>
    </row>
    <row r="3" spans="1:11" ht="15" customHeight="1" x14ac:dyDescent="0.15">
      <c r="B3" s="3" t="s">
        <v>23</v>
      </c>
      <c r="C3" s="94"/>
      <c r="D3" s="140">
        <f>C49-I49</f>
        <v>12863898</v>
      </c>
      <c r="E3" s="73" t="str">
        <f>IF((C49-I49)=D3,"", "Error!")</f>
        <v/>
      </c>
      <c r="F3" s="94"/>
      <c r="G3" s="94"/>
      <c r="H3" s="47" t="s">
        <v>24</v>
      </c>
      <c r="I3" s="59">
        <v>12890860</v>
      </c>
      <c r="K3" s="24"/>
    </row>
    <row r="4" spans="1:11" ht="15" customHeight="1" x14ac:dyDescent="0.15">
      <c r="B4" s="3" t="s">
        <v>25</v>
      </c>
      <c r="C4" s="94"/>
      <c r="D4" s="69">
        <f>D3-I3</f>
        <v>-26962</v>
      </c>
      <c r="E4" s="37"/>
      <c r="F4" s="94"/>
      <c r="G4" s="94"/>
      <c r="H4" s="21"/>
      <c r="I4" s="54"/>
      <c r="K4" s="24"/>
    </row>
    <row r="5" spans="1:11" ht="15" customHeight="1" x14ac:dyDescent="0.15">
      <c r="C5" s="94"/>
      <c r="D5" s="94"/>
      <c r="E5" s="11" t="s">
        <v>26</v>
      </c>
      <c r="H5" s="1" t="s">
        <v>28</v>
      </c>
      <c r="I5" s="67">
        <f>C28/I28</f>
        <v>3.5066755118062995</v>
      </c>
      <c r="K5" s="24"/>
    </row>
    <row r="6" spans="1:11" ht="15" customHeight="1" thickBot="1" x14ac:dyDescent="0.2">
      <c r="B6" s="20" t="s">
        <v>27</v>
      </c>
      <c r="C6" s="94"/>
      <c r="D6" s="75">
        <f>(E49-I49-E53)*Exchange_Rate</f>
        <v>4056058.9676495078</v>
      </c>
      <c r="E6" s="56">
        <f>1-D6/D3</f>
        <v>0.68469440851835828</v>
      </c>
      <c r="F6" s="94"/>
      <c r="G6" s="94"/>
      <c r="H6" s="1" t="s">
        <v>30</v>
      </c>
      <c r="I6" s="67">
        <f>(C24+C25)/I28</f>
        <v>0.74800394334750619</v>
      </c>
      <c r="J6" s="94"/>
      <c r="K6" s="24"/>
    </row>
    <row r="7" spans="1:11" ht="15" customHeight="1" thickTop="1" x14ac:dyDescent="0.15">
      <c r="B7" s="19" t="s">
        <v>29</v>
      </c>
      <c r="C7" s="94"/>
      <c r="D7" s="70">
        <f>MAX((D6*Exchange_Rate*Data!E3)/Common_Shares, 0)</f>
        <v>33.778430494636247</v>
      </c>
      <c r="E7" s="11" t="str">
        <f>Dashboard!H3</f>
        <v>HKD</v>
      </c>
      <c r="H7" s="1" t="s">
        <v>31</v>
      </c>
      <c r="I7" s="67">
        <f>C24/I28</f>
        <v>0.64376313868623514</v>
      </c>
      <c r="J7" s="94"/>
      <c r="K7" s="33"/>
    </row>
    <row r="8" spans="1:11" ht="15" customHeight="1" x14ac:dyDescent="0.15">
      <c r="C8" s="94"/>
      <c r="D8" s="94"/>
      <c r="E8" s="94"/>
      <c r="K8" s="24"/>
    </row>
    <row r="9" spans="1:11" ht="15" customHeight="1" x14ac:dyDescent="0.2">
      <c r="A9" s="2"/>
      <c r="B9" s="46" t="s">
        <v>32</v>
      </c>
      <c r="C9" s="93"/>
      <c r="D9" s="71">
        <v>45473</v>
      </c>
      <c r="E9" s="143" t="str">
        <f>IF(MONTH(D9)=MONTH(Data!C3),"FY","Quarter")</f>
        <v>Quarter</v>
      </c>
      <c r="F9" s="93"/>
      <c r="G9" s="93"/>
      <c r="H9" s="93"/>
      <c r="I9" s="93"/>
      <c r="K9" s="24"/>
    </row>
    <row r="10" spans="1:11" ht="15" customHeight="1" x14ac:dyDescent="0.15">
      <c r="B10" s="3" t="s">
        <v>33</v>
      </c>
      <c r="C10" s="81" t="s">
        <v>34</v>
      </c>
      <c r="D10" s="81" t="s">
        <v>219</v>
      </c>
      <c r="E10" s="81" t="s">
        <v>35</v>
      </c>
      <c r="F10" s="126" t="s">
        <v>36</v>
      </c>
      <c r="G10" s="94"/>
      <c r="H10" s="22" t="s">
        <v>37</v>
      </c>
      <c r="I10" s="81" t="s">
        <v>34</v>
      </c>
      <c r="K10" s="24"/>
    </row>
    <row r="11" spans="1:11" ht="15" customHeight="1" x14ac:dyDescent="0.15">
      <c r="B11" s="3" t="s">
        <v>38</v>
      </c>
      <c r="C11" s="63">
        <v>1998219</v>
      </c>
      <c r="D11" s="64">
        <v>1</v>
      </c>
      <c r="E11" s="95">
        <f t="shared" ref="E11:E21" si="0">C11*D11</f>
        <v>1998219</v>
      </c>
      <c r="F11" s="127"/>
      <c r="G11" s="94"/>
      <c r="H11" s="3" t="s">
        <v>39</v>
      </c>
      <c r="I11" s="63">
        <v>362000</v>
      </c>
      <c r="J11" s="94"/>
      <c r="K11" s="24"/>
    </row>
    <row r="12" spans="1:11" ht="14" x14ac:dyDescent="0.15">
      <c r="B12" s="1" t="s">
        <v>148</v>
      </c>
      <c r="C12" s="63"/>
      <c r="D12" s="64">
        <v>0.95</v>
      </c>
      <c r="E12" s="95">
        <f t="shared" si="0"/>
        <v>0</v>
      </c>
      <c r="F12" s="127"/>
      <c r="G12" s="94"/>
      <c r="H12" s="3" t="s">
        <v>40</v>
      </c>
      <c r="I12" s="63">
        <v>287697</v>
      </c>
      <c r="J12" s="94"/>
      <c r="K12" s="24"/>
    </row>
    <row r="13" spans="1:11" ht="14" x14ac:dyDescent="0.15">
      <c r="B13" s="3" t="s">
        <v>121</v>
      </c>
      <c r="C13" s="63">
        <v>265773</v>
      </c>
      <c r="D13" s="64">
        <v>0.8</v>
      </c>
      <c r="E13" s="95">
        <f t="shared" si="0"/>
        <v>212618.40000000002</v>
      </c>
      <c r="F13" s="127"/>
      <c r="G13" s="94"/>
      <c r="H13" s="3" t="s">
        <v>41</v>
      </c>
      <c r="I13" s="63"/>
      <c r="J13" s="94"/>
      <c r="K13" s="26"/>
    </row>
    <row r="14" spans="1:11" ht="14" x14ac:dyDescent="0.15">
      <c r="B14" s="3" t="s">
        <v>42</v>
      </c>
      <c r="C14" s="63"/>
      <c r="D14" s="64">
        <v>0.3</v>
      </c>
      <c r="E14" s="95">
        <f>C14*D14</f>
        <v>0</v>
      </c>
      <c r="F14" s="127"/>
      <c r="G14" s="94"/>
      <c r="H14" s="93" t="s">
        <v>43</v>
      </c>
      <c r="I14" s="144"/>
      <c r="J14" s="94"/>
      <c r="K14" s="27"/>
    </row>
    <row r="15" spans="1:11" ht="14" x14ac:dyDescent="0.15">
      <c r="B15" s="3" t="s">
        <v>44</v>
      </c>
      <c r="C15" s="63"/>
      <c r="D15" s="64">
        <v>0.05</v>
      </c>
      <c r="E15" s="95">
        <f>C15*D15</f>
        <v>0</v>
      </c>
      <c r="F15" s="127"/>
      <c r="G15" s="94"/>
      <c r="H15" s="1" t="s">
        <v>54</v>
      </c>
      <c r="I15" s="91">
        <f>SUM(I11:I14)</f>
        <v>649697</v>
      </c>
      <c r="J15" s="94"/>
    </row>
    <row r="16" spans="1:11" ht="14" x14ac:dyDescent="0.15">
      <c r="B16" s="1" t="s">
        <v>172</v>
      </c>
      <c r="C16" s="63"/>
      <c r="D16" s="64">
        <v>0.5</v>
      </c>
      <c r="E16" s="95">
        <f t="shared" si="0"/>
        <v>0</v>
      </c>
      <c r="F16" s="127"/>
      <c r="G16" s="30"/>
      <c r="H16" s="3"/>
      <c r="I16" s="40"/>
      <c r="J16" s="94"/>
    </row>
    <row r="17" spans="2:10" ht="14" x14ac:dyDescent="0.15">
      <c r="B17" s="3" t="s">
        <v>122</v>
      </c>
      <c r="C17" s="63">
        <v>366595</v>
      </c>
      <c r="D17" s="64">
        <v>0.1</v>
      </c>
      <c r="E17" s="95">
        <f t="shared" si="0"/>
        <v>36659.5</v>
      </c>
      <c r="F17" s="127"/>
      <c r="G17" s="94"/>
      <c r="H17" s="3"/>
      <c r="I17" s="40"/>
      <c r="J17" s="94"/>
    </row>
    <row r="18" spans="2:10" ht="14" x14ac:dyDescent="0.15">
      <c r="B18" s="3" t="s">
        <v>47</v>
      </c>
      <c r="C18" s="63">
        <v>9672256</v>
      </c>
      <c r="D18" s="64">
        <v>0.5</v>
      </c>
      <c r="E18" s="95">
        <f t="shared" si="0"/>
        <v>4836128</v>
      </c>
      <c r="F18" s="127"/>
      <c r="G18" s="94"/>
      <c r="H18" s="94"/>
      <c r="I18" s="94"/>
    </row>
    <row r="19" spans="2:10" ht="14" x14ac:dyDescent="0.15">
      <c r="B19" s="1" t="s">
        <v>48</v>
      </c>
      <c r="C19" s="63"/>
      <c r="D19" s="64">
        <v>0.75</v>
      </c>
      <c r="E19" s="95">
        <f t="shared" si="0"/>
        <v>0</v>
      </c>
      <c r="F19" s="128" t="s">
        <v>46</v>
      </c>
      <c r="G19" s="30">
        <f>IF(F19="Y",0,1)</f>
        <v>0</v>
      </c>
    </row>
    <row r="20" spans="2:10" ht="14" x14ac:dyDescent="0.15">
      <c r="B20" s="3" t="s">
        <v>124</v>
      </c>
      <c r="C20" s="63"/>
      <c r="D20" s="64">
        <v>0.6</v>
      </c>
      <c r="E20" s="95">
        <f t="shared" si="0"/>
        <v>0</v>
      </c>
      <c r="F20" s="128" t="s">
        <v>46</v>
      </c>
      <c r="G20" s="30">
        <f>IF(F20="Y",0,1)</f>
        <v>0</v>
      </c>
      <c r="H20" s="3"/>
      <c r="I20" s="40"/>
    </row>
    <row r="21" spans="2:10" ht="14" x14ac:dyDescent="0.15">
      <c r="B21" s="3" t="s">
        <v>50</v>
      </c>
      <c r="C21" s="63">
        <v>29465</v>
      </c>
      <c r="D21" s="64">
        <v>0.95</v>
      </c>
      <c r="E21" s="95">
        <f t="shared" si="0"/>
        <v>27991.75</v>
      </c>
      <c r="F21" s="127"/>
      <c r="G21" s="94"/>
      <c r="H21" s="3"/>
      <c r="I21" s="40"/>
    </row>
    <row r="22" spans="2:10" ht="15" customHeight="1" x14ac:dyDescent="0.15">
      <c r="B22" s="3" t="s">
        <v>51</v>
      </c>
      <c r="C22" s="63"/>
      <c r="D22" s="64">
        <v>0.2</v>
      </c>
      <c r="E22" s="95">
        <f t="shared" ref="E22" si="1">C22*D22</f>
        <v>0</v>
      </c>
      <c r="F22" s="127"/>
      <c r="G22" s="94"/>
      <c r="H22" s="3" t="s">
        <v>45</v>
      </c>
      <c r="I22" s="52">
        <f>I28-SUM(I11:I14)</f>
        <v>2867112</v>
      </c>
    </row>
    <row r="23" spans="2:10" ht="15" customHeight="1" x14ac:dyDescent="0.15">
      <c r="C23" s="94"/>
      <c r="D23" s="94"/>
      <c r="E23" s="94"/>
      <c r="F23" s="126" t="s">
        <v>52</v>
      </c>
      <c r="G23" s="94"/>
    </row>
    <row r="24" spans="2:10" ht="15" customHeight="1" x14ac:dyDescent="0.15">
      <c r="B24" s="23" t="s">
        <v>53</v>
      </c>
      <c r="C24" s="65">
        <f>SUM(C11:C14)</f>
        <v>2263992</v>
      </c>
      <c r="D24" s="66">
        <f>IF(E24=0,0,E24/C24)</f>
        <v>0.97652173682592514</v>
      </c>
      <c r="E24" s="95">
        <f>SUM(E11:E14)</f>
        <v>2210837.4</v>
      </c>
      <c r="F24" s="129">
        <f>E24/$E$28</f>
        <v>0.31087690869838996</v>
      </c>
      <c r="G24" s="94"/>
    </row>
    <row r="25" spans="2:10" ht="15" customHeight="1" x14ac:dyDescent="0.15">
      <c r="B25" s="23" t="s">
        <v>55</v>
      </c>
      <c r="C25" s="65">
        <f>SUM(C15:C17)</f>
        <v>366595</v>
      </c>
      <c r="D25" s="66">
        <f>IF(E25=0,0,E25/C25)</f>
        <v>0.1</v>
      </c>
      <c r="E25" s="95">
        <f>SUM(E15:E17)</f>
        <v>36659.5</v>
      </c>
      <c r="F25" s="129">
        <f t="shared" ref="F25:F27" si="2">E25/$E$28</f>
        <v>5.1548757201360113E-3</v>
      </c>
      <c r="G25" s="94"/>
      <c r="H25" s="23" t="s">
        <v>56</v>
      </c>
      <c r="I25" s="67">
        <f>E28/I28</f>
        <v>2.0221788132366587</v>
      </c>
    </row>
    <row r="26" spans="2:10" ht="15" customHeight="1" x14ac:dyDescent="0.15">
      <c r="B26" s="23" t="s">
        <v>57</v>
      </c>
      <c r="C26" s="65">
        <f>C18+C19+C20</f>
        <v>9672256</v>
      </c>
      <c r="D26" s="66">
        <f t="shared" ref="D26:D27" si="3">IF(E26=0,0,E26/C26)</f>
        <v>0.5</v>
      </c>
      <c r="E26" s="95">
        <f>E18+E19+E20</f>
        <v>4836128</v>
      </c>
      <c r="F26" s="129">
        <f t="shared" si="2"/>
        <v>0.68003215555776619</v>
      </c>
      <c r="G26" s="94"/>
      <c r="H26" s="23" t="s">
        <v>58</v>
      </c>
      <c r="I26" s="67">
        <f>E24/($I$28-I22)</f>
        <v>3.4028745707614472</v>
      </c>
      <c r="J26" s="8" t="str">
        <f>IF(I26&lt;1,"Liquidity Problem!","")</f>
        <v/>
      </c>
    </row>
    <row r="27" spans="2:10" ht="15" customHeight="1" x14ac:dyDescent="0.15">
      <c r="B27" s="23" t="s">
        <v>59</v>
      </c>
      <c r="C27" s="84">
        <f>C21+C22</f>
        <v>29465</v>
      </c>
      <c r="D27" s="66">
        <f t="shared" si="3"/>
        <v>0.95</v>
      </c>
      <c r="E27" s="95">
        <f>E21+E22</f>
        <v>27991.75</v>
      </c>
      <c r="F27" s="129">
        <f t="shared" si="2"/>
        <v>3.9360600237078299E-3</v>
      </c>
      <c r="G27" s="94"/>
      <c r="H27" s="23" t="s">
        <v>60</v>
      </c>
      <c r="I27" s="67">
        <f>(E25+E24)/$I$28</f>
        <v>0.63907277876051838</v>
      </c>
      <c r="J27" s="8" t="str">
        <f>IF(OR(I27&lt;0.75,C28&lt;I28),"Liquidity Problem!","")</f>
        <v>Liquidity Problem!</v>
      </c>
    </row>
    <row r="28" spans="2:10" ht="15" customHeight="1" x14ac:dyDescent="0.15">
      <c r="B28" s="85" t="s">
        <v>15</v>
      </c>
      <c r="C28" s="86">
        <f>SUM(C11:C22)</f>
        <v>12332308</v>
      </c>
      <c r="D28" s="61">
        <f t="shared" ref="D28" si="4">E28/C28</f>
        <v>0.57666550738110012</v>
      </c>
      <c r="E28" s="76">
        <f>SUM(E24:E27)</f>
        <v>7111616.6500000004</v>
      </c>
      <c r="F28" s="127"/>
      <c r="G28" s="94"/>
      <c r="H28" s="85" t="s">
        <v>16</v>
      </c>
      <c r="I28" s="72">
        <v>3516809</v>
      </c>
      <c r="J28" s="32">
        <f>IF(J26="",1,0)+IF(J27="",1,0)+IF(J46="",1,0)+IF(J47="",1,0)</f>
        <v>3</v>
      </c>
    </row>
    <row r="29" spans="2:10" ht="15" customHeight="1" x14ac:dyDescent="0.15">
      <c r="C29" s="94"/>
      <c r="D29" s="94"/>
      <c r="E29" s="94"/>
      <c r="F29" s="127" t="s">
        <v>36</v>
      </c>
      <c r="G29" s="94"/>
      <c r="H29" s="94"/>
      <c r="I29" s="94"/>
      <c r="J29" s="94"/>
    </row>
    <row r="30" spans="2:10" ht="15" customHeight="1" x14ac:dyDescent="0.15">
      <c r="B30" s="3" t="s">
        <v>61</v>
      </c>
      <c r="C30" s="63"/>
      <c r="D30" s="64">
        <v>0.95</v>
      </c>
      <c r="E30" s="95">
        <v>0</v>
      </c>
      <c r="F30" s="127"/>
      <c r="G30" s="94"/>
      <c r="H30" s="3" t="s">
        <v>62</v>
      </c>
      <c r="I30" s="63"/>
      <c r="J30" s="94"/>
    </row>
    <row r="31" spans="2:10" ht="15" customHeight="1" x14ac:dyDescent="0.15">
      <c r="B31" s="3" t="s">
        <v>63</v>
      </c>
      <c r="C31" s="63"/>
      <c r="D31" s="64">
        <v>0.5</v>
      </c>
      <c r="E31" s="95">
        <f t="shared" ref="E31:E42" si="5">C31*D31</f>
        <v>0</v>
      </c>
      <c r="F31" s="127"/>
      <c r="G31" s="94"/>
      <c r="H31" s="3" t="s">
        <v>64</v>
      </c>
      <c r="I31" s="63">
        <v>319420</v>
      </c>
      <c r="J31" s="94"/>
    </row>
    <row r="32" spans="2:10" ht="15" customHeight="1" x14ac:dyDescent="0.15">
      <c r="B32" s="3" t="s">
        <v>65</v>
      </c>
      <c r="C32" s="63"/>
      <c r="D32" s="64">
        <v>0.4</v>
      </c>
      <c r="E32" s="95">
        <f t="shared" si="5"/>
        <v>0</v>
      </c>
      <c r="F32" s="127"/>
      <c r="G32" s="94"/>
      <c r="H32" s="3" t="s">
        <v>66</v>
      </c>
      <c r="I32" s="63"/>
      <c r="J32" s="94"/>
    </row>
    <row r="33" spans="2:10" ht="14" x14ac:dyDescent="0.15">
      <c r="B33" s="1" t="s">
        <v>173</v>
      </c>
      <c r="C33" s="63"/>
      <c r="D33" s="64">
        <v>0.5</v>
      </c>
      <c r="E33" s="95">
        <f t="shared" si="5"/>
        <v>0</v>
      </c>
      <c r="F33" s="127"/>
      <c r="G33" s="30">
        <f>IF(F33="Y",0,1)</f>
        <v>1</v>
      </c>
      <c r="H33" s="93" t="s">
        <v>67</v>
      </c>
      <c r="I33" s="144"/>
      <c r="J33" s="94"/>
    </row>
    <row r="34" spans="2:10" ht="14" x14ac:dyDescent="0.15">
      <c r="B34" s="3" t="s">
        <v>68</v>
      </c>
      <c r="C34" s="63">
        <v>103050</v>
      </c>
      <c r="D34" s="64">
        <v>0</v>
      </c>
      <c r="E34" s="95">
        <f t="shared" si="5"/>
        <v>0</v>
      </c>
      <c r="F34" s="127"/>
      <c r="G34" s="94"/>
      <c r="H34" s="1" t="s">
        <v>78</v>
      </c>
      <c r="I34" s="91">
        <f>SUM(I30:I33)</f>
        <v>319420</v>
      </c>
      <c r="J34" s="94"/>
    </row>
    <row r="35" spans="2:10" ht="14" x14ac:dyDescent="0.15">
      <c r="B35" s="3" t="s">
        <v>70</v>
      </c>
      <c r="C35" s="63"/>
      <c r="D35" s="64">
        <v>0.1</v>
      </c>
      <c r="E35" s="95">
        <f t="shared" si="5"/>
        <v>0</v>
      </c>
      <c r="F35" s="128" t="s">
        <v>71</v>
      </c>
      <c r="G35" s="30">
        <f>IF(F35="Y",0,1)</f>
        <v>1</v>
      </c>
      <c r="J35" s="94"/>
    </row>
    <row r="36" spans="2:10" ht="14" x14ac:dyDescent="0.15">
      <c r="B36" s="3" t="s">
        <v>72</v>
      </c>
      <c r="C36" s="63">
        <v>925726</v>
      </c>
      <c r="D36" s="64">
        <v>0.2</v>
      </c>
      <c r="E36" s="95">
        <f t="shared" si="5"/>
        <v>185145.2</v>
      </c>
      <c r="F36" s="128" t="s">
        <v>71</v>
      </c>
      <c r="G36" s="30">
        <f>IF(F36="Y",0,1)</f>
        <v>1</v>
      </c>
      <c r="H36" s="94"/>
      <c r="I36" s="94"/>
    </row>
    <row r="37" spans="2:10" ht="14" x14ac:dyDescent="0.15">
      <c r="B37" s="1" t="s">
        <v>49</v>
      </c>
      <c r="C37" s="63"/>
      <c r="D37" s="64">
        <v>0.05</v>
      </c>
      <c r="E37" s="95">
        <f>C37*D37</f>
        <v>0</v>
      </c>
      <c r="F37" s="128" t="s">
        <v>46</v>
      </c>
      <c r="G37" s="30">
        <f>IF(F37="Y",0,1)</f>
        <v>0</v>
      </c>
      <c r="H37" s="94"/>
      <c r="I37" s="94"/>
    </row>
    <row r="38" spans="2:10" ht="15" customHeight="1" x14ac:dyDescent="0.15">
      <c r="B38" s="3" t="s">
        <v>123</v>
      </c>
      <c r="C38" s="63">
        <v>2522337</v>
      </c>
      <c r="D38" s="64">
        <v>0.1</v>
      </c>
      <c r="E38" s="95">
        <f>C38*D38</f>
        <v>252233.7</v>
      </c>
      <c r="F38" s="127"/>
      <c r="G38" s="94"/>
      <c r="H38" s="94"/>
      <c r="I38" s="94"/>
    </row>
    <row r="39" spans="2:10" ht="14" x14ac:dyDescent="0.15">
      <c r="B39" s="3" t="s">
        <v>73</v>
      </c>
      <c r="C39" s="63"/>
      <c r="D39" s="64">
        <v>0.05</v>
      </c>
      <c r="E39" s="95">
        <f t="shared" si="5"/>
        <v>0</v>
      </c>
      <c r="F39" s="127"/>
      <c r="G39" s="94"/>
      <c r="H39" s="94"/>
      <c r="I39" s="94"/>
    </row>
    <row r="40" spans="2:10" ht="15" customHeight="1" x14ac:dyDescent="0.15">
      <c r="B40" s="3" t="s">
        <v>74</v>
      </c>
      <c r="C40" s="63">
        <v>538321</v>
      </c>
      <c r="D40" s="64">
        <v>0.05</v>
      </c>
      <c r="E40" s="95">
        <f t="shared" si="5"/>
        <v>26916.050000000003</v>
      </c>
      <c r="F40" s="127"/>
      <c r="G40" s="94"/>
      <c r="H40" s="94"/>
      <c r="I40" s="94"/>
    </row>
    <row r="41" spans="2:10" ht="15" customHeight="1" x14ac:dyDescent="0.15">
      <c r="B41" s="3" t="s">
        <v>75</v>
      </c>
      <c r="C41" s="63">
        <v>154648</v>
      </c>
      <c r="D41" s="64">
        <v>0.95</v>
      </c>
      <c r="E41" s="95">
        <f t="shared" si="5"/>
        <v>146915.6</v>
      </c>
      <c r="F41" s="127"/>
      <c r="G41" s="94"/>
      <c r="H41" s="94"/>
      <c r="I41" s="94"/>
    </row>
    <row r="42" spans="2:10" ht="15" customHeight="1" x14ac:dyDescent="0.15">
      <c r="B42" s="3" t="s">
        <v>76</v>
      </c>
      <c r="C42" s="63">
        <v>277674</v>
      </c>
      <c r="D42" s="64">
        <v>0</v>
      </c>
      <c r="E42" s="95">
        <f t="shared" si="5"/>
        <v>0</v>
      </c>
      <c r="F42" s="127"/>
      <c r="G42" s="94"/>
      <c r="H42" s="3" t="s">
        <v>69</v>
      </c>
      <c r="I42" s="52">
        <f>I48-SUM(I30:I33)</f>
        <v>153937</v>
      </c>
    </row>
    <row r="43" spans="2:10" ht="15" customHeight="1" x14ac:dyDescent="0.15">
      <c r="C43" s="94"/>
      <c r="D43" s="94"/>
      <c r="E43" s="94"/>
      <c r="F43" s="94"/>
      <c r="G43" s="94"/>
      <c r="H43" s="94"/>
      <c r="I43" s="94"/>
    </row>
    <row r="44" spans="2:10" ht="15" customHeight="1" x14ac:dyDescent="0.15">
      <c r="B44" s="23" t="s">
        <v>77</v>
      </c>
      <c r="C44" s="65">
        <f>SUM(C30:C31)</f>
        <v>0</v>
      </c>
      <c r="D44" s="66">
        <f>IF(E44=0,0,E44/C44)</f>
        <v>0</v>
      </c>
      <c r="E44" s="95">
        <f>SUM(E30:E31)</f>
        <v>0</v>
      </c>
      <c r="F44" s="78"/>
      <c r="G44" s="94"/>
    </row>
    <row r="45" spans="2:10" ht="15" customHeight="1" x14ac:dyDescent="0.15">
      <c r="B45" s="23" t="s">
        <v>79</v>
      </c>
      <c r="C45" s="65">
        <f>SUM(C32:C35)</f>
        <v>103050</v>
      </c>
      <c r="D45" s="66">
        <f>IF(E45=0,0,E45/C45)</f>
        <v>0</v>
      </c>
      <c r="E45" s="95">
        <f>SUM(E32:E35)</f>
        <v>0</v>
      </c>
      <c r="F45" s="78"/>
      <c r="G45" s="94"/>
    </row>
    <row r="46" spans="2:10" ht="15" customHeight="1" x14ac:dyDescent="0.15">
      <c r="B46" s="23" t="s">
        <v>80</v>
      </c>
      <c r="C46" s="65">
        <f>C36+C37+C38+C39</f>
        <v>3448063</v>
      </c>
      <c r="D46" s="66">
        <f t="shared" ref="D46:D47" si="6">IF(E46=0,0,E46/C46)</f>
        <v>0.12684771130921912</v>
      </c>
      <c r="E46" s="95">
        <f>E36+E37+E38+E39</f>
        <v>437378.9</v>
      </c>
      <c r="F46" s="94"/>
      <c r="G46" s="94"/>
      <c r="H46" s="23" t="s">
        <v>81</v>
      </c>
      <c r="I46" s="67">
        <f>(E44+E24)/E64</f>
        <v>2.2812904943365973</v>
      </c>
      <c r="J46" s="8" t="str">
        <f>IF(I46&lt;1,"Liquidity Problem!","")</f>
        <v/>
      </c>
    </row>
    <row r="47" spans="2:10" ht="15" customHeight="1" x14ac:dyDescent="0.15">
      <c r="B47" s="23" t="s">
        <v>82</v>
      </c>
      <c r="C47" s="65">
        <f>C40+C41+C42</f>
        <v>970643</v>
      </c>
      <c r="D47" s="66">
        <f t="shared" si="6"/>
        <v>0.17908917078678774</v>
      </c>
      <c r="E47" s="95">
        <f>E40+E41+E42</f>
        <v>173831.65000000002</v>
      </c>
      <c r="F47" s="94"/>
      <c r="G47" s="94"/>
      <c r="H47" s="23" t="s">
        <v>83</v>
      </c>
      <c r="I47" s="67">
        <f>(E44+E45+E24+E25)/$I$49</f>
        <v>0.56325899724472617</v>
      </c>
      <c r="J47" s="8" t="str">
        <f>IF(OR(I47&lt;0.5,C49&lt;I49),"Liquidity Problem!","")</f>
        <v/>
      </c>
    </row>
    <row r="48" spans="2:10" ht="15" customHeight="1" thickBot="1" x14ac:dyDescent="0.2">
      <c r="B48" s="87" t="s">
        <v>84</v>
      </c>
      <c r="C48" s="88">
        <f>SUM(C30:C42)</f>
        <v>4521756</v>
      </c>
      <c r="D48" s="89">
        <f>E48/C48</f>
        <v>0.13517105965027748</v>
      </c>
      <c r="E48" s="83">
        <f>SUM(E30:E42)</f>
        <v>611210.55000000005</v>
      </c>
      <c r="F48" s="94"/>
      <c r="G48" s="94"/>
      <c r="H48" s="87" t="s">
        <v>85</v>
      </c>
      <c r="I48" s="90">
        <v>473357</v>
      </c>
      <c r="J48" s="8"/>
    </row>
    <row r="49" spans="2:10" ht="15" customHeight="1" thickTop="1" x14ac:dyDescent="0.15">
      <c r="B49" s="3" t="s">
        <v>14</v>
      </c>
      <c r="C49" s="65">
        <f>C28+C48</f>
        <v>16854064</v>
      </c>
      <c r="D49" s="56">
        <f>E49/C49</f>
        <v>0.45821750765868696</v>
      </c>
      <c r="E49" s="95">
        <f>E28+E48</f>
        <v>7722827.2000000002</v>
      </c>
      <c r="F49" s="94"/>
      <c r="G49" s="94"/>
      <c r="H49" s="3" t="s">
        <v>86</v>
      </c>
      <c r="I49" s="52">
        <f>I28+I48</f>
        <v>3990166</v>
      </c>
      <c r="J49" s="94"/>
    </row>
    <row r="50" spans="2:10" ht="15" customHeight="1" x14ac:dyDescent="0.15">
      <c r="C50" s="94"/>
      <c r="D50" s="94"/>
      <c r="E50" s="94"/>
      <c r="I50" s="94"/>
    </row>
    <row r="51" spans="2:10" ht="14" x14ac:dyDescent="0.15">
      <c r="B51" s="10" t="s">
        <v>87</v>
      </c>
      <c r="C51" s="31"/>
      <c r="D51" s="18"/>
    </row>
    <row r="52" spans="2:10" ht="14" x14ac:dyDescent="0.15">
      <c r="B52" s="44" t="s">
        <v>88</v>
      </c>
      <c r="C52" s="94"/>
      <c r="D52" s="81" t="str">
        <f>IF(E53=D4,"BV of the MI","P/B Approach")</f>
        <v>P/B Approach</v>
      </c>
      <c r="E52" s="94"/>
      <c r="F52" s="94"/>
      <c r="G52" s="94"/>
      <c r="H52" s="50" t="s">
        <v>8</v>
      </c>
      <c r="I52" s="94"/>
    </row>
    <row r="53" spans="2:10" ht="14" x14ac:dyDescent="0.15">
      <c r="B53" s="3" t="s">
        <v>89</v>
      </c>
      <c r="C53" s="95">
        <f>MAX(D4,0)</f>
        <v>0</v>
      </c>
      <c r="D53" s="29">
        <f>IF(E53=0, 0,E53/C53)</f>
        <v>0</v>
      </c>
      <c r="E53" s="95">
        <f>MAX(C53,C53*Dashboard!G23)</f>
        <v>0</v>
      </c>
      <c r="F53" s="94"/>
      <c r="G53" s="94"/>
      <c r="H53" s="94"/>
      <c r="I53" s="41"/>
    </row>
    <row r="54" spans="2:10" ht="15" customHeight="1" x14ac:dyDescent="0.15">
      <c r="C54" s="94"/>
      <c r="D54" s="94"/>
      <c r="E54" s="94"/>
      <c r="F54" s="94"/>
      <c r="G54" s="94"/>
      <c r="H54" s="94"/>
      <c r="I54" s="94"/>
    </row>
    <row r="55" spans="2:10" ht="14" x14ac:dyDescent="0.15">
      <c r="B55" s="25" t="s">
        <v>163</v>
      </c>
      <c r="C55" s="3"/>
      <c r="E55" s="157"/>
      <c r="F55" s="3"/>
      <c r="G55" s="3"/>
      <c r="H55" s="94"/>
      <c r="I55" s="94"/>
    </row>
    <row r="56" spans="2:10" ht="14" x14ac:dyDescent="0.15">
      <c r="B56" s="20" t="s">
        <v>90</v>
      </c>
      <c r="C56" s="94"/>
      <c r="D56" s="208">
        <f>I15+I34</f>
        <v>969117</v>
      </c>
      <c r="E56" s="209"/>
      <c r="F56" s="3"/>
      <c r="G56" s="3"/>
      <c r="H56" s="94"/>
      <c r="I56" s="56"/>
    </row>
    <row r="57" spans="2:10" ht="14" x14ac:dyDescent="0.15">
      <c r="B57" s="20" t="s">
        <v>91</v>
      </c>
      <c r="C57" s="94"/>
      <c r="D57" s="207">
        <v>0</v>
      </c>
      <c r="E57" s="206"/>
      <c r="G57" s="94"/>
      <c r="H57" s="94" t="s">
        <v>92</v>
      </c>
      <c r="I57" s="94"/>
    </row>
    <row r="58" spans="2:10" ht="12.75" customHeight="1" x14ac:dyDescent="0.15">
      <c r="B58" s="20" t="s">
        <v>93</v>
      </c>
      <c r="C58" s="94"/>
      <c r="D58" s="207">
        <v>0</v>
      </c>
      <c r="E58" s="206"/>
      <c r="F58" s="3"/>
      <c r="G58" s="3"/>
      <c r="H58" s="94"/>
      <c r="I58" s="94"/>
    </row>
    <row r="59" spans="2:10" ht="15" customHeight="1" x14ac:dyDescent="0.15">
      <c r="C59" s="94"/>
      <c r="D59" s="94"/>
      <c r="E59" s="94"/>
      <c r="F59" s="94"/>
      <c r="G59" s="94"/>
      <c r="H59" s="94"/>
      <c r="I59" s="94"/>
    </row>
    <row r="60" spans="2:10" ht="14" x14ac:dyDescent="0.15">
      <c r="B60" s="25" t="s">
        <v>166</v>
      </c>
      <c r="C60" s="3"/>
      <c r="D60" s="82" t="s">
        <v>94</v>
      </c>
      <c r="E60" s="94"/>
      <c r="F60" s="9"/>
      <c r="G60" s="9"/>
      <c r="H60" s="94"/>
      <c r="I60" s="94"/>
    </row>
    <row r="61" spans="2:10" ht="15" customHeight="1" x14ac:dyDescent="0.15">
      <c r="B61" s="19" t="s">
        <v>95</v>
      </c>
      <c r="C61" s="74">
        <f>C14+C15+(C19*G19)+(C20*G20)+C31+C32+(C35*G35)+(C36*G36)+(C37*G37)</f>
        <v>925726</v>
      </c>
      <c r="D61" s="56">
        <f t="shared" ref="D61:D70" si="7">IF(E61=0,0,E61/C61)</f>
        <v>0.2</v>
      </c>
      <c r="E61" s="52">
        <f>E14+E15+(E19*G19)+(E20*G20)+E31+E32+(E35*G35)+(E36*G36)+(E37*G37)</f>
        <v>185145.2</v>
      </c>
      <c r="F61" s="94"/>
      <c r="G61" s="94"/>
      <c r="H61" s="94"/>
      <c r="I61" s="94"/>
    </row>
    <row r="62" spans="2:10" ht="14" x14ac:dyDescent="0.15">
      <c r="B62" s="35" t="s">
        <v>152</v>
      </c>
      <c r="C62" s="141">
        <f>C11+C30</f>
        <v>1998219</v>
      </c>
      <c r="D62" s="122">
        <f t="shared" si="7"/>
        <v>1</v>
      </c>
      <c r="E62" s="142">
        <f>E11+E30</f>
        <v>1998219</v>
      </c>
      <c r="F62" s="94"/>
      <c r="G62" s="94"/>
      <c r="H62" s="94"/>
      <c r="I62" s="94"/>
    </row>
    <row r="63" spans="2:10" ht="14" x14ac:dyDescent="0.15">
      <c r="B63" s="19" t="s">
        <v>154</v>
      </c>
      <c r="C63" s="74">
        <f>C61+C62</f>
        <v>2923945</v>
      </c>
      <c r="D63" s="29">
        <f t="shared" si="7"/>
        <v>0.74671862842837333</v>
      </c>
      <c r="E63" s="65">
        <f>E61+E62</f>
        <v>2183364.2000000002</v>
      </c>
      <c r="F63" s="94"/>
      <c r="G63" s="94"/>
      <c r="H63" s="94"/>
      <c r="I63" s="94"/>
    </row>
    <row r="64" spans="2:10" thickBot="1" x14ac:dyDescent="0.2">
      <c r="B64" s="145" t="s">
        <v>164</v>
      </c>
      <c r="C64" s="146"/>
      <c r="D64" s="147"/>
      <c r="E64" s="75">
        <f>D56+D57+D58</f>
        <v>969117</v>
      </c>
      <c r="F64" s="94"/>
      <c r="G64" s="94"/>
      <c r="H64" s="94"/>
      <c r="I64" s="94"/>
    </row>
    <row r="65" spans="1:9" thickTop="1" x14ac:dyDescent="0.15">
      <c r="B65" s="3" t="s">
        <v>155</v>
      </c>
      <c r="C65" s="74">
        <f>C63-E64</f>
        <v>1954828</v>
      </c>
      <c r="D65" s="29">
        <f t="shared" si="7"/>
        <v>0.62115296077199644</v>
      </c>
      <c r="E65" s="65">
        <f>E63-E64</f>
        <v>1214247.2000000002</v>
      </c>
      <c r="F65" s="94"/>
      <c r="G65" s="94"/>
      <c r="H65" s="94"/>
      <c r="I65" s="94"/>
    </row>
    <row r="66" spans="1:9" ht="14" x14ac:dyDescent="0.15">
      <c r="B66" s="3"/>
      <c r="C66" s="74"/>
      <c r="D66" s="29"/>
      <c r="E66" s="65"/>
      <c r="F66" s="94"/>
      <c r="G66" s="94"/>
      <c r="H66" s="94"/>
      <c r="I66" s="94"/>
    </row>
    <row r="67" spans="1:9" ht="14" x14ac:dyDescent="0.15">
      <c r="B67" s="25" t="s">
        <v>167</v>
      </c>
      <c r="C67" s="3"/>
      <c r="D67" s="82" t="s">
        <v>94</v>
      </c>
      <c r="E67" s="65"/>
      <c r="F67" s="94"/>
      <c r="G67" s="94"/>
      <c r="H67" s="94"/>
      <c r="I67" s="94"/>
    </row>
    <row r="68" spans="1:9" ht="14" x14ac:dyDescent="0.15">
      <c r="B68" s="19" t="s">
        <v>153</v>
      </c>
      <c r="C68" s="74">
        <f>C49-C63</f>
        <v>13930119</v>
      </c>
      <c r="D68" s="29">
        <f t="shared" si="7"/>
        <v>0.3976608527177693</v>
      </c>
      <c r="E68" s="74">
        <f>E49-E63</f>
        <v>5539463</v>
      </c>
      <c r="F68" s="94"/>
      <c r="G68" s="94"/>
      <c r="H68" s="94"/>
      <c r="I68" s="94"/>
    </row>
    <row r="69" spans="1:9" thickBot="1" x14ac:dyDescent="0.2">
      <c r="B69" s="145" t="s">
        <v>165</v>
      </c>
      <c r="C69" s="146"/>
      <c r="D69" s="147"/>
      <c r="E69" s="158">
        <f>I49-E64</f>
        <v>3021049</v>
      </c>
      <c r="F69" s="94"/>
      <c r="G69" s="94"/>
      <c r="H69" s="94"/>
      <c r="I69" s="94"/>
    </row>
    <row r="70" spans="1:9" thickTop="1" x14ac:dyDescent="0.15">
      <c r="B70" s="19" t="s">
        <v>156</v>
      </c>
      <c r="C70" s="74">
        <f>C68-E69</f>
        <v>10909070</v>
      </c>
      <c r="D70" s="29">
        <f t="shared" si="7"/>
        <v>0.23085505913886334</v>
      </c>
      <c r="E70" s="74">
        <f>E68-E69</f>
        <v>2518414</v>
      </c>
      <c r="F70" s="94"/>
      <c r="G70" s="94"/>
      <c r="H70" s="94"/>
      <c r="I70" s="94"/>
    </row>
    <row r="72" spans="1:9" ht="15" customHeight="1" x14ac:dyDescent="0.15">
      <c r="A72" s="5"/>
      <c r="B72" s="120" t="s">
        <v>137</v>
      </c>
      <c r="C72" s="213">
        <f>Data!C5</f>
        <v>45291</v>
      </c>
      <c r="D72" s="213"/>
      <c r="H72" s="50" t="s">
        <v>8</v>
      </c>
    </row>
    <row r="73" spans="1:9" ht="15" customHeight="1" x14ac:dyDescent="0.15">
      <c r="B73" s="12" t="str">
        <f>"(Numbers in "&amp;Data!E3&amp;Dashboard!G6&amp;")"</f>
        <v>(Numbers in 1000CNY)</v>
      </c>
      <c r="C73" s="212" t="s">
        <v>103</v>
      </c>
      <c r="D73" s="212"/>
      <c r="E73" s="214" t="s">
        <v>104</v>
      </c>
      <c r="F73" s="212"/>
    </row>
    <row r="74" spans="1:9" ht="15" customHeight="1" x14ac:dyDescent="0.15">
      <c r="B74" s="3" t="s">
        <v>136</v>
      </c>
      <c r="C74" s="95">
        <f>Data!C6</f>
        <v>3050715</v>
      </c>
      <c r="D74" s="130"/>
      <c r="E74" s="148">
        <f>C74</f>
        <v>3050715</v>
      </c>
      <c r="F74" s="130"/>
    </row>
    <row r="75" spans="1:9" ht="15" customHeight="1" x14ac:dyDescent="0.15">
      <c r="B75" s="117" t="s">
        <v>109</v>
      </c>
      <c r="C75" s="95">
        <f>Data!C8</f>
        <v>2577476</v>
      </c>
      <c r="D75" s="131">
        <f>C75/$C$74</f>
        <v>0.8448760372568398</v>
      </c>
      <c r="E75" s="148">
        <f>D75*E74</f>
        <v>2577476</v>
      </c>
      <c r="F75" s="149">
        <f>E75/$E$74</f>
        <v>0.8448760372568398</v>
      </c>
    </row>
    <row r="76" spans="1:9" ht="15" customHeight="1" x14ac:dyDescent="0.15">
      <c r="B76" s="35" t="s">
        <v>96</v>
      </c>
      <c r="C76" s="118">
        <f>C74-C75</f>
        <v>473239</v>
      </c>
      <c r="D76" s="132"/>
      <c r="E76" s="150">
        <f>E74-E75</f>
        <v>473239</v>
      </c>
      <c r="F76" s="132"/>
    </row>
    <row r="77" spans="1:9" ht="15" customHeight="1" x14ac:dyDescent="0.15">
      <c r="B77" s="117" t="s">
        <v>133</v>
      </c>
      <c r="C77" s="95">
        <f>Data!C10-Data!C12</f>
        <v>549856</v>
      </c>
      <c r="D77" s="131">
        <f>C77/$C$74</f>
        <v>0.18023840312844694</v>
      </c>
      <c r="E77" s="148">
        <f>D77*E74</f>
        <v>549856</v>
      </c>
      <c r="F77" s="149">
        <f>E77/$E$74</f>
        <v>0.18023840312844694</v>
      </c>
    </row>
    <row r="78" spans="1:9" ht="15" customHeight="1" x14ac:dyDescent="0.15">
      <c r="B78" s="35" t="s">
        <v>97</v>
      </c>
      <c r="C78" s="118">
        <f>C76-C77</f>
        <v>-76617</v>
      </c>
      <c r="D78" s="132"/>
      <c r="E78" s="150">
        <f>E76-E77</f>
        <v>-76617</v>
      </c>
      <c r="F78" s="132"/>
    </row>
    <row r="79" spans="1:9" ht="15" customHeight="1" x14ac:dyDescent="0.15">
      <c r="B79" s="117" t="s">
        <v>129</v>
      </c>
      <c r="C79" s="95">
        <f>Data!C17</f>
        <v>54645</v>
      </c>
      <c r="D79" s="131">
        <f>C79/$C$74</f>
        <v>1.7912194354438221E-2</v>
      </c>
      <c r="E79" s="148">
        <f>C79</f>
        <v>54645</v>
      </c>
      <c r="F79" s="149">
        <f>E79/$E$74</f>
        <v>1.7912194354438221E-2</v>
      </c>
    </row>
    <row r="80" spans="1:9" ht="15" customHeight="1" x14ac:dyDescent="0.15">
      <c r="B80" s="28" t="s">
        <v>135</v>
      </c>
      <c r="C80" s="95">
        <f>Data!C14+MAX(Data!C15,0)</f>
        <v>0</v>
      </c>
      <c r="D80" s="131">
        <f>C80/$C$74</f>
        <v>0</v>
      </c>
      <c r="E80" s="148">
        <f>3%*E74</f>
        <v>91521.45</v>
      </c>
      <c r="F80" s="149">
        <f t="shared" ref="F80:F83" si="8">E80/$E$74</f>
        <v>0.03</v>
      </c>
    </row>
    <row r="81" spans="1:8" ht="15" customHeight="1" x14ac:dyDescent="0.15">
      <c r="B81" s="28" t="s">
        <v>113</v>
      </c>
      <c r="C81" s="95">
        <f>MAX(Data!C16,0)</f>
        <v>0</v>
      </c>
      <c r="D81" s="131">
        <f>C81/$C$74</f>
        <v>0</v>
      </c>
      <c r="E81" s="148">
        <f>C81</f>
        <v>0</v>
      </c>
      <c r="F81" s="149">
        <f t="shared" si="8"/>
        <v>0</v>
      </c>
      <c r="H81" s="125" t="s">
        <v>141</v>
      </c>
    </row>
    <row r="82" spans="1:8" ht="15" customHeight="1" x14ac:dyDescent="0.15">
      <c r="B82" s="79" t="s">
        <v>190</v>
      </c>
      <c r="C82" s="95">
        <f>MAX(Data!C18,0)</f>
        <v>0</v>
      </c>
      <c r="D82" s="131">
        <f>C82/$C$74</f>
        <v>0</v>
      </c>
      <c r="E82" s="148">
        <v>0</v>
      </c>
      <c r="F82" s="149">
        <f t="shared" si="8"/>
        <v>0</v>
      </c>
    </row>
    <row r="83" spans="1:8" ht="15" customHeight="1" thickBot="1" x14ac:dyDescent="0.2">
      <c r="B83" s="119" t="s">
        <v>134</v>
      </c>
      <c r="C83" s="100">
        <f>C78-C79-C80-C81-C82</f>
        <v>-131262</v>
      </c>
      <c r="D83" s="133">
        <f>C83/$C$74</f>
        <v>-4.3026634739724949E-2</v>
      </c>
      <c r="E83" s="151">
        <f>E78-E79-E80-E81-E82</f>
        <v>-222783.45</v>
      </c>
      <c r="F83" s="135">
        <f t="shared" si="8"/>
        <v>-7.3026634739724955E-2</v>
      </c>
    </row>
    <row r="84" spans="1:8" ht="15" customHeight="1" thickTop="1" x14ac:dyDescent="0.15">
      <c r="B84" s="28" t="s">
        <v>98</v>
      </c>
      <c r="C84" s="121"/>
      <c r="D84" s="134"/>
      <c r="E84" s="152"/>
      <c r="F84" s="136">
        <v>0.25</v>
      </c>
    </row>
    <row r="85" spans="1:8" ht="15" customHeight="1" x14ac:dyDescent="0.15">
      <c r="B85" s="93" t="s">
        <v>179</v>
      </c>
      <c r="C85" s="118">
        <f>C83*(1-F84)</f>
        <v>-98446.5</v>
      </c>
      <c r="D85" s="135">
        <f>C85/$C$74</f>
        <v>-3.226997605479371E-2</v>
      </c>
      <c r="E85" s="153">
        <f>E83*(1-F84)</f>
        <v>-167087.58750000002</v>
      </c>
      <c r="F85" s="135">
        <f>E85/$E$74</f>
        <v>-5.4769976054793723E-2</v>
      </c>
    </row>
    <row r="86" spans="1:8" ht="15" customHeight="1" x14ac:dyDescent="0.15">
      <c r="B86" s="94" t="s">
        <v>174</v>
      </c>
      <c r="C86" s="159">
        <f>C85*Data!E3/Common_Shares</f>
        <v>-0.75448359096191708</v>
      </c>
      <c r="D86" s="130"/>
      <c r="E86" s="161">
        <f>E85*Data!E3/Common_Shares</f>
        <v>-1.2805416446716089</v>
      </c>
      <c r="F86" s="130"/>
    </row>
    <row r="87" spans="1:8" ht="15" customHeight="1" x14ac:dyDescent="0.15">
      <c r="B87" s="93" t="s">
        <v>175</v>
      </c>
      <c r="C87" s="162">
        <v>0</v>
      </c>
      <c r="D87" s="135">
        <f>C87/C86</f>
        <v>0</v>
      </c>
      <c r="E87" s="160">
        <f>C87</f>
        <v>0</v>
      </c>
      <c r="F87" s="135">
        <f>E87/E86</f>
        <v>0</v>
      </c>
    </row>
    <row r="88" spans="1:8" ht="15" customHeight="1" x14ac:dyDescent="0.15">
      <c r="B88" s="28"/>
      <c r="C88" s="95"/>
    </row>
    <row r="89" spans="1:8" ht="15" customHeight="1" x14ac:dyDescent="0.15">
      <c r="A89" s="5"/>
      <c r="B89" s="120" t="s">
        <v>168</v>
      </c>
      <c r="C89" s="21"/>
      <c r="H89" s="50" t="s">
        <v>145</v>
      </c>
    </row>
    <row r="90" spans="1:8" ht="15" customHeight="1" x14ac:dyDescent="0.15">
      <c r="B90" s="10" t="s">
        <v>169</v>
      </c>
      <c r="D90" s="210" t="s">
        <v>170</v>
      </c>
      <c r="E90" s="210"/>
      <c r="G90" s="94"/>
      <c r="H90" s="24"/>
    </row>
    <row r="91" spans="1:8" ht="15" customHeight="1" x14ac:dyDescent="0.15">
      <c r="B91" s="1" t="s">
        <v>192</v>
      </c>
      <c r="C91" s="64" t="s">
        <v>227</v>
      </c>
      <c r="D91" s="211" t="s">
        <v>220</v>
      </c>
      <c r="E91" s="211"/>
      <c r="F91" s="29">
        <f>E86*Exchange_Rate/Dashboard!G3</f>
        <v>-1.8957598695893682E-2</v>
      </c>
      <c r="H91" s="195"/>
    </row>
    <row r="92" spans="1:8" ht="15" customHeight="1" x14ac:dyDescent="0.15">
      <c r="B92" s="1" t="str">
        <f>IF(C91="CN",Dashboard!B17,Dashboard!B12)</f>
        <v>Required Return (CN)</v>
      </c>
      <c r="C92" s="173">
        <f>IF(C91="CN",Dashboard!C17,IF(C91="US",Dashboard!C12,IF(C91="HK",Dashboard!D12,Dashboard!D17)))</f>
        <v>8.8000000000000009E-2</v>
      </c>
      <c r="D92" s="194">
        <v>5</v>
      </c>
      <c r="E92" s="94" t="s">
        <v>221</v>
      </c>
      <c r="F92" s="193">
        <f>FV(F91,D92,0,-(E86/C92))</f>
        <v>-13.223606766620662</v>
      </c>
      <c r="H92" s="195"/>
    </row>
    <row r="93" spans="1:8" ht="15" customHeight="1" x14ac:dyDescent="0.15">
      <c r="H93" s="24"/>
    </row>
    <row r="94" spans="1:8" ht="15" customHeight="1" x14ac:dyDescent="0.15">
      <c r="A94" s="5"/>
      <c r="B94" s="120" t="str">
        <f xml:space="preserve"> "Valuation in "&amp;Dashboard!H3</f>
        <v>Valuation in HKD</v>
      </c>
      <c r="C94" s="163" t="str">
        <f>Dashboard!H3</f>
        <v>HKD</v>
      </c>
      <c r="D94" s="196" t="s">
        <v>223</v>
      </c>
      <c r="E94" s="155" t="s">
        <v>224</v>
      </c>
      <c r="H94" s="24"/>
    </row>
    <row r="95" spans="1:8" ht="15" customHeight="1" x14ac:dyDescent="0.15">
      <c r="B95" s="1" t="s">
        <v>140</v>
      </c>
      <c r="C95" s="102">
        <f>D95*Common_Shares/Data!E3</f>
        <v>-1229820.1904636996</v>
      </c>
      <c r="D95" s="154">
        <f>PV(C92,D92,0,-F92)*Exchange_Rate</f>
        <v>-9.4252122070212838</v>
      </c>
      <c r="E95" s="154">
        <f>PV(15%,D92,0,-F92)*Exchange_Rate</f>
        <v>-7.1440816930586308</v>
      </c>
      <c r="H95" s="24"/>
    </row>
    <row r="96" spans="1:8" ht="15" customHeight="1" x14ac:dyDescent="0.15">
      <c r="B96" s="28" t="s">
        <v>157</v>
      </c>
      <c r="C96" s="102">
        <f>E53*Exchange_Rate</f>
        <v>0</v>
      </c>
      <c r="D96" s="154">
        <f>C96*Data!$E$3/Common_Shares</f>
        <v>0</v>
      </c>
      <c r="E96" s="130"/>
      <c r="F96" s="137"/>
      <c r="H96" s="24"/>
    </row>
    <row r="97" spans="2:8" ht="15" customHeight="1" thickBot="1" x14ac:dyDescent="0.2">
      <c r="B97" s="119" t="s">
        <v>158</v>
      </c>
      <c r="C97" s="123">
        <f>(E65+MIN(0,E70))*Exchange_Rate</f>
        <v>1319449.577824879</v>
      </c>
      <c r="D97" s="197">
        <f>C97*Data!$E$3/Common_Shares</f>
        <v>10.11212237682904</v>
      </c>
      <c r="E97" s="198"/>
      <c r="F97" s="156" t="s">
        <v>144</v>
      </c>
      <c r="H97" s="24"/>
    </row>
    <row r="98" spans="2:8" ht="15" customHeight="1" thickTop="1" x14ac:dyDescent="0.15">
      <c r="B98" s="1" t="s">
        <v>119</v>
      </c>
      <c r="C98" s="102">
        <f>C95-C96+$C$97</f>
        <v>89629.387361179339</v>
      </c>
      <c r="D98" s="124">
        <f>MAX(C98*Data!$E$3/Common_Shares,0)</f>
        <v>0.68691016980775599</v>
      </c>
      <c r="E98" s="124">
        <f>E95*Exchange_Rate-D96+D97</f>
        <v>2.3490774434310842</v>
      </c>
      <c r="F98" s="124">
        <f>D98*1.25</f>
        <v>0.85863771225969499</v>
      </c>
      <c r="H98" s="24"/>
    </row>
    <row r="99" spans="2:8" ht="15" customHeight="1" x14ac:dyDescent="0.15">
      <c r="H99" s="24"/>
    </row>
    <row r="100" spans="2:8" ht="15" customHeight="1" x14ac:dyDescent="0.15">
      <c r="B100" s="10" t="s">
        <v>177</v>
      </c>
      <c r="C100" s="163" t="str">
        <f>C94</f>
        <v>HKD</v>
      </c>
      <c r="D100" s="196"/>
      <c r="E100" s="155" t="s">
        <v>143</v>
      </c>
      <c r="F100" s="156" t="s">
        <v>144</v>
      </c>
      <c r="H100" s="24"/>
    </row>
    <row r="101" spans="2:8" ht="15" customHeight="1" x14ac:dyDescent="0.15">
      <c r="B101" s="1" t="s">
        <v>176</v>
      </c>
      <c r="C101" s="102">
        <f>D101*Common_Shares/Data!E3</f>
        <v>0</v>
      </c>
      <c r="D101" s="154">
        <f>E87/(C92-2%)*Exchange_Rate</f>
        <v>0</v>
      </c>
      <c r="E101" s="124">
        <f>D101*(1-25%)</f>
        <v>0</v>
      </c>
      <c r="F101" s="124">
        <f>D101*1.25</f>
        <v>0</v>
      </c>
      <c r="H101" s="24" t="s">
        <v>222</v>
      </c>
    </row>
    <row r="102" spans="2:8" ht="15" customHeight="1" x14ac:dyDescent="0.15">
      <c r="H102" s="24"/>
    </row>
    <row r="103" spans="2:8" ht="15" customHeight="1" x14ac:dyDescent="0.15">
      <c r="B103" s="10" t="s">
        <v>225</v>
      </c>
      <c r="C103" s="163" t="str">
        <f>C100</f>
        <v>HKD</v>
      </c>
      <c r="D103" s="196"/>
      <c r="E103" s="155" t="s">
        <v>143</v>
      </c>
      <c r="F103" s="156" t="s">
        <v>144</v>
      </c>
      <c r="H103" s="24"/>
    </row>
    <row r="104" spans="2:8" ht="15" customHeight="1" x14ac:dyDescent="0.15">
      <c r="B104" s="1" t="s">
        <v>226</v>
      </c>
      <c r="C104" s="102">
        <f>D104*Common_Shares/Data!E3</f>
        <v>44814.693680589669</v>
      </c>
      <c r="D104" s="154">
        <f>(D98+D101)/2</f>
        <v>0.34345508490387799</v>
      </c>
      <c r="E104" s="124">
        <f>D104*(1-25%)</f>
        <v>0.2575913136779085</v>
      </c>
      <c r="F104" s="124">
        <f>D104*1.25</f>
        <v>0.42931885612984749</v>
      </c>
    </row>
    <row r="106" spans="2:8" ht="15" customHeight="1" x14ac:dyDescent="0.15">
      <c r="B106" s="10" t="s">
        <v>180</v>
      </c>
      <c r="C106" s="164" t="s">
        <v>210</v>
      </c>
    </row>
  </sheetData>
  <mergeCells count="8">
    <mergeCell ref="D56:E56"/>
    <mergeCell ref="D57:E57"/>
    <mergeCell ref="D58:E58"/>
    <mergeCell ref="D90:E90"/>
    <mergeCell ref="D91:E91"/>
    <mergeCell ref="C73:D73"/>
    <mergeCell ref="C72:D72"/>
    <mergeCell ref="E73:F73"/>
  </mergeCells>
  <phoneticPr fontId="20" type="noConversion"/>
  <conditionalFormatting sqref="C86:C87">
    <cfRule type="containsBlanks" dxfId="3" priority="5">
      <formula>LEN(TRIM(C86))=0</formula>
    </cfRule>
  </conditionalFormatting>
  <conditionalFormatting sqref="C106">
    <cfRule type="containsBlanks" dxfId="2" priority="2">
      <formula>LEN(TRIM(C106))=0</formula>
    </cfRule>
  </conditionalFormatting>
  <conditionalFormatting sqref="E74:E82 F84">
    <cfRule type="containsBlanks" dxfId="1" priority="9">
      <formula>LEN(TRIM(E74))=0</formula>
    </cfRule>
  </conditionalFormatting>
  <conditionalFormatting sqref="E87">
    <cfRule type="containsBlanks" dxfId="0" priority="4">
      <formula>LEN(TRIM(E87))=0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6" xr:uid="{E383D7BB-5EEE-044F-801D-1E55C0035917}">
      <formula1>"Profit, Dividend, Avg"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2024-11-08T16:27:20Z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