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EA794B79-882C-224D-A840-8FC247F23523}" xr6:coauthVersionLast="47" xr6:coauthVersionMax="47" xr10:uidLastSave="{00000000-0000-0000-0000-000000000000}"/>
  <bookViews>
    <workbookView xWindow="1480" yWindow="1480" windowWidth="12700" windowHeight="7640" activeTab="2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alcOnSave="0" concurrentManualCount="16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87" i="3" l="1"/>
  <c r="C92" i="3" l="1"/>
  <c r="D101" i="3" s="1"/>
  <c r="B92" i="3"/>
  <c r="G26" i="1" l="1"/>
  <c r="D45" i="2"/>
  <c r="C82" i="3"/>
  <c r="E42" i="2"/>
  <c r="C94" i="3"/>
  <c r="C100" i="3" s="1"/>
  <c r="C103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E80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J9" i="2"/>
  <c r="J13" i="2" s="1"/>
  <c r="K9" i="2"/>
  <c r="L9" i="2"/>
  <c r="M9" i="2"/>
  <c r="C9" i="2"/>
  <c r="C41" i="2"/>
  <c r="I38" i="2" l="1"/>
  <c r="E82" i="3"/>
  <c r="J19" i="2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C96" i="3" s="1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D83" i="3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5" i="3" l="1"/>
  <c r="C86" i="3"/>
  <c r="D87" i="3" s="1"/>
  <c r="C25" i="1"/>
  <c r="C46" i="2"/>
  <c r="F83" i="3" l="1"/>
  <c r="C26" i="1" s="1"/>
  <c r="E85" i="3"/>
  <c r="I22" i="3"/>
  <c r="F85" i="3" l="1"/>
  <c r="E86" i="3"/>
  <c r="F91" i="3" s="1"/>
  <c r="F92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D95" i="3" l="1"/>
  <c r="C95" i="3" s="1"/>
  <c r="E95" i="3"/>
  <c r="G24" i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34" i="2"/>
  <c r="G23" i="1" s="1"/>
  <c r="J47" i="3"/>
  <c r="J28" i="3" s="1"/>
  <c r="C25" i="2" l="1"/>
  <c r="C51" i="2" s="1"/>
  <c r="C53" i="3"/>
  <c r="E53" i="3" s="1"/>
  <c r="C35" i="2"/>
  <c r="D96" i="3" l="1"/>
  <c r="C98" i="3" l="1"/>
  <c r="D98" i="3" s="1"/>
  <c r="D104" i="3" s="1"/>
  <c r="D53" i="3"/>
  <c r="D6" i="3"/>
  <c r="D7" i="3" s="1"/>
  <c r="D52" i="3"/>
  <c r="F29" i="1" l="1"/>
  <c r="F104" i="3"/>
  <c r="D29" i="1" s="1"/>
  <c r="E104" i="3"/>
  <c r="C29" i="1" s="1"/>
  <c r="C104" i="3"/>
  <c r="E6" i="3"/>
  <c r="F98" i="3" l="1"/>
  <c r="E98" i="3"/>
</calcChain>
</file>

<file path=xl/sharedStrings.xml><?xml version="1.0" encoding="utf-8"?>
<sst xmlns="http://schemas.openxmlformats.org/spreadsheetml/2006/main" count="252" uniqueCount="229">
  <si>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</si>
  <si>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</si>
  <si>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</si>
  <si>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</si>
  <si>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</si>
  <si>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</si>
  <si>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</si>
  <si>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</si>
  <si>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</si>
  <si>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</si>
  <si>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</si>
  <si>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</si>
  <si>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</si>
  <si>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</si>
  <si>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</si>
  <si>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</si>
  <si>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</si>
  <si>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</si>
  <si>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</si>
  <si>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</si>
  <si>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</si>
  <si>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</si>
  <si>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</si>
  <si>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</si>
  <si>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</si>
  <si>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</si>
  <si>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</si>
  <si>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</si>
  <si>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</si>
  <si>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</si>
  <si>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</si>
  <si>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</si>
  <si>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</si>
  <si>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</si>
  <si>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</si>
  <si>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</si>
  <si>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</si>
  <si>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</si>
  <si>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</si>
  <si>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</si>
  <si>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</si>
  <si>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</si>
  <si>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</si>
  <si>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</si>
  <si>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</si>
  <si>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</si>
  <si>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</si>
  <si>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</si>
  <si>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</si>
  <si>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</si>
  <si>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</si>
  <si>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</si>
  <si>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</si>
  <si>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</si>
  <si>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</si>
  <si>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</si>
  <si>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</si>
  <si>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</si>
  <si>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</si>
  <si>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</si>
  <si>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</si>
  <si>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</si>
  <si>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</si>
  <si>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</si>
  <si>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</si>
  <si>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</si>
  <si>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</si>
  <si>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</si>
  <si>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</si>
  <si>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</si>
  <si>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</si>
  <si>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</si>
  <si>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</si>
  <si>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</si>
  <si>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</si>
  <si>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</si>
  <si>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</si>
  <si>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</si>
  <si>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</si>
  <si>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</si>
  <si>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</si>
  <si>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</si>
  <si>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</si>
  <si>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</si>
  <si>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</si>
  <si>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</si>
  <si>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</si>
  <si>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</si>
  <si>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</si>
  <si>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</si>
  <si>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</si>
  <si>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</si>
  <si>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</si>
  <si>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</si>
  <si>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</si>
  <si>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</si>
  <si>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</si>
  <si>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</si>
  <si>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</si>
  <si>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</si>
  <si>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</si>
  <si>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</si>
  <si>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</si>
  <si>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</si>
  <si>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</si>
  <si>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</si>
  <si>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</si>
  <si>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</si>
  <si>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</si>
  <si>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</si>
  <si>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</si>
  <si>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</si>
  <si>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</si>
  <si>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</si>
  <si>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</si>
  <si>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</si>
  <si>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</si>
  <si>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</si>
  <si>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</si>
  <si>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</si>
  <si>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</si>
  <si>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</si>
  <si>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</si>
  <si>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</si>
  <si>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</si>
  <si>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</si>
  <si>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</si>
  <si>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</si>
  <si>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</si>
  <si>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</si>
  <si>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</si>
  <si>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</si>
  <si>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</si>
  <si>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</si>
  <si>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</si>
  <si>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</si>
  <si>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</si>
  <si>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</si>
  <si>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</si>
  <si>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</si>
  <si>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</si>
  <si>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</si>
  <si>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</si>
  <si>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</si>
  <si>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</si>
  <si>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</si>
  <si>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</si>
  <si>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</si>
  <si>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</si>
  <si>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</si>
  <si>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</si>
  <si>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</si>
  <si>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</si>
  <si>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</si>
  <si>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</si>
  <si>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</si>
  <si>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</si>
  <si>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</si>
  <si>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</si>
  <si>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</si>
  <si>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</si>
  <si>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</si>
  <si>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</si>
  <si>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</si>
  <si>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</si>
  <si>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</si>
  <si>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</si>
  <si>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</si>
  <si>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</si>
  <si>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</si>
  <si>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</si>
  <si>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</si>
  <si>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</si>
  <si>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</si>
  <si>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</si>
  <si>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</si>
  <si>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</si>
  <si>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</si>
  <si>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</si>
  <si>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</si>
  <si>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</si>
  <si>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</si>
  <si>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</si>
  <si>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</si>
  <si>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</si>
  <si>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</si>
  <si>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</si>
  <si>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</si>
  <si>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</si>
  <si>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</si>
  <si>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</si>
  <si>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</si>
  <si>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</si>
  <si>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</si>
  <si>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</si>
  <si>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</si>
  <si>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</si>
  <si>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</si>
  <si>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</si>
  <si>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</si>
  <si>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</si>
  <si>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</si>
  <si>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</si>
  <si>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</si>
  <si>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</si>
  <si>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</si>
  <si>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</si>
  <si>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</si>
  <si>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</si>
  <si>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</si>
  <si>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</si>
  <si>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</si>
  <si>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</si>
  <si>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</si>
  <si>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</si>
  <si>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</si>
  <si>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</si>
  <si>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</si>
  <si>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NISSIN FOODS</t>
    <phoneticPr fontId="20" type="noConversion"/>
  </si>
  <si>
    <t>1475.HK</t>
    <phoneticPr fontId="20" type="noConversion"/>
  </si>
  <si>
    <t>C0002</t>
    <phoneticPr fontId="20" type="noConversion"/>
  </si>
  <si>
    <t>Valued @</t>
    <phoneticPr fontId="20" type="noConversion"/>
  </si>
  <si>
    <t>Initial Rate of Return (E/P)</t>
    <phoneticPr fontId="20" type="noConversion"/>
  </si>
  <si>
    <t>Future Value is</t>
    <phoneticPr fontId="20" type="noConversion"/>
  </si>
  <si>
    <t>@15% Target</t>
    <phoneticPr fontId="20" type="noConversion"/>
  </si>
  <si>
    <t>@Initial rate</t>
    <phoneticPr fontId="20" type="noConversion"/>
  </si>
  <si>
    <t>Avg of E and D method</t>
    <phoneticPr fontId="20" type="noConversion"/>
  </si>
  <si>
    <t>Avg Valuation</t>
    <phoneticPr fontId="20" type="noConversion"/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</si>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</sst>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6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0"/>
      <color theme="1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67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69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69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72" fontId="4" fillId="0" borderId="3" xfId="0" applyNumberFormat="1" applyFont="1" applyBorder="1" applyAlignment="1">
      <alignment horizontal="center"/>
    </xf>
    <xf numFmtId="172" fontId="4" fillId="0" borderId="7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73" fontId="6" fillId="0" borderId="3" xfId="0" applyNumberFormat="1" applyFont="1" applyBorder="1" applyAlignment="1">
      <alignment horizontal="center"/>
    </xf>
    <xf numFmtId="173" fontId="2" fillId="0" borderId="12" xfId="0" applyNumberFormat="1" applyFont="1" applyBorder="1" applyAlignment="1">
      <alignment horizontal="center"/>
    </xf>
    <xf numFmtId="173" fontId="1" fillId="0" borderId="11" xfId="0" applyNumberFormat="1" applyFont="1" applyBorder="1" applyAlignment="1">
      <alignment horizontal="center"/>
    </xf>
    <xf numFmtId="173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10" fontId="2" fillId="8" borderId="15" xfId="0" applyNumberFormat="1" applyFont="1" applyFill="1" applyBorder="1" applyAlignment="1">
      <alignment horizontal="center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6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5" fillId="0" borderId="3" xfId="2" applyFont="1" applyBorder="1"/>
    <xf numFmtId="167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71" fontId="2" fillId="8" borderId="3" xfId="0" applyNumberFormat="1" applyFont="1" applyFill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74" fontId="2" fillId="0" borderId="0" xfId="0" applyNumberFormat="1" applyFont="1" applyAlignment="1">
      <alignment horizontal="left"/>
    </xf>
    <xf numFmtId="164" fontId="2" fillId="0" borderId="3" xfId="0" applyNumberFormat="1" applyFont="1" applyBorder="1" applyAlignment="1">
      <alignment horizontal="center"/>
    </xf>
    <xf numFmtId="0" fontId="4" fillId="0" borderId="0" xfId="0" quotePrefix="1" applyFont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166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" fillId="9" borderId="4" xfId="0" applyFont="1" applyFill="1" applyBorder="1" applyAlignment="1">
      <alignment horizontal="center"/>
    </xf>
    <xf numFmtId="0" fontId="6" fillId="8" borderId="4" xfId="0" applyFont="1" applyFill="1" applyBorder="1"/>
    <xf numFmtId="165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  <xf numFmtId="169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="125" zoomScaleNormal="100" workbookViewId="0">
      <selection activeCell="C18" sqref="C18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4.33203125" style="1" bestFit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94"/>
      <c r="C1" s="94"/>
      <c r="D1" s="94"/>
      <c r="E1" s="94"/>
      <c r="F1" s="94"/>
      <c r="G1" s="94"/>
      <c r="H1" s="94"/>
    </row>
    <row r="2" spans="1:10" ht="15.75" customHeight="1" x14ac:dyDescent="0.2">
      <c r="A2" s="5"/>
      <c r="B2" s="6" t="s">
        <v>0</v>
      </c>
      <c r="C2" s="25" t="str">
        <f>C3&amp;" : "&amp;C4</f>
        <v>1475.HK : NISSIN FOODS</v>
      </c>
      <c r="D2" s="94"/>
      <c r="E2" s="7"/>
      <c r="F2" s="7"/>
      <c r="G2" s="93"/>
      <c r="H2" s="93"/>
    </row>
    <row r="3" spans="1:10" ht="15.75" customHeight="1" x14ac:dyDescent="0.15">
      <c r="B3" s="3" t="s">
        <v>216</v>
      </c>
      <c r="C3" s="202" t="s">
        <v>219</v>
      </c>
      <c r="D3" s="203"/>
      <c r="E3" s="94"/>
      <c r="F3" s="3" t="s">
        <v>1</v>
      </c>
      <c r="G3" s="170">
        <v>4.559999942779541</v>
      </c>
      <c r="H3" s="172" t="s">
        <v>2</v>
      </c>
    </row>
    <row r="4" spans="1:10" ht="15.75" customHeight="1" x14ac:dyDescent="0.15">
      <c r="B4" s="35" t="s">
        <v>217</v>
      </c>
      <c r="C4" s="204" t="s">
        <v>218</v>
      </c>
      <c r="D4" s="205"/>
      <c r="E4" s="94"/>
      <c r="F4" s="3" t="s">
        <v>3</v>
      </c>
      <c r="G4" s="208">
        <v>1043691480</v>
      </c>
      <c r="H4" s="208"/>
      <c r="I4" s="39"/>
    </row>
    <row r="5" spans="1:10" ht="15.75" customHeight="1" x14ac:dyDescent="0.15">
      <c r="B5" s="3" t="s">
        <v>178</v>
      </c>
      <c r="C5" s="206">
        <v>45591</v>
      </c>
      <c r="D5" s="207"/>
      <c r="E5" s="34"/>
      <c r="F5" s="35" t="s">
        <v>102</v>
      </c>
      <c r="G5" s="200">
        <f>G3*G4/1000000</f>
        <v>4759.2330890794947</v>
      </c>
      <c r="H5" s="200"/>
      <c r="I5" s="38"/>
      <c r="J5" s="28"/>
    </row>
    <row r="6" spans="1:10" ht="15.75" customHeight="1" x14ac:dyDescent="0.15">
      <c r="B6" s="94" t="s">
        <v>4</v>
      </c>
      <c r="C6" s="190">
        <v>8</v>
      </c>
      <c r="D6" s="191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01" t="s">
        <v>2</v>
      </c>
      <c r="H6" s="201"/>
      <c r="I6" s="38"/>
    </row>
    <row r="7" spans="1:10" ht="15.75" customHeight="1" x14ac:dyDescent="0.15">
      <c r="B7" s="93" t="s">
        <v>214</v>
      </c>
      <c r="C7" s="189" t="s">
        <v>46</v>
      </c>
      <c r="D7" s="195" t="s">
        <v>220</v>
      </c>
      <c r="E7" s="94"/>
      <c r="F7" s="35" t="s">
        <v>6</v>
      </c>
      <c r="G7" s="171">
        <v>1</v>
      </c>
      <c r="H7" s="77" t="str">
        <f>IF(G6=Dashboard!H3,H3,G6&amp;"/"&amp;Dashboard!H3)</f>
        <v>HKD</v>
      </c>
    </row>
    <row r="8" spans="1:10" ht="15.75" customHeight="1" x14ac:dyDescent="0.15"/>
    <row r="9" spans="1:10" ht="15.75" customHeight="1" x14ac:dyDescent="0.15">
      <c r="B9" s="179" t="s">
        <v>212</v>
      </c>
      <c r="F9" s="185" t="s">
        <v>206</v>
      </c>
    </row>
    <row r="10" spans="1:10" ht="15.75" customHeight="1" x14ac:dyDescent="0.15">
      <c r="B10" s="1" t="s">
        <v>195</v>
      </c>
      <c r="C10" s="169">
        <v>4.2099999999999999E-2</v>
      </c>
      <c r="F10" s="125" t="s">
        <v>203</v>
      </c>
    </row>
    <row r="11" spans="1:10" ht="15.75" customHeight="1" thickBot="1" x14ac:dyDescent="0.2">
      <c r="B11" s="146" t="s">
        <v>199</v>
      </c>
      <c r="C11" s="183">
        <v>5.3099999999999994E-2</v>
      </c>
      <c r="D11" s="176" t="s">
        <v>210</v>
      </c>
      <c r="F11" s="125" t="s">
        <v>197</v>
      </c>
    </row>
    <row r="12" spans="1:10" ht="15.75" customHeight="1" thickTop="1" x14ac:dyDescent="0.15">
      <c r="B12" s="94" t="s">
        <v>142</v>
      </c>
      <c r="C12" s="192">
        <v>0.08</v>
      </c>
      <c r="D12" s="169">
        <v>8.4000000000000005E-2</v>
      </c>
      <c r="F12" s="125"/>
    </row>
    <row r="13" spans="1:10" ht="15.75" customHeight="1" x14ac:dyDescent="0.15"/>
    <row r="14" spans="1:10" ht="15.75" customHeight="1" x14ac:dyDescent="0.15">
      <c r="B14" s="1" t="s">
        <v>196</v>
      </c>
      <c r="C14" s="169">
        <v>2.1309999999999999E-2</v>
      </c>
      <c r="F14" s="125" t="s">
        <v>202</v>
      </c>
    </row>
    <row r="15" spans="1:10" ht="15.75" customHeight="1" x14ac:dyDescent="0.15">
      <c r="B15" s="1" t="s">
        <v>207</v>
      </c>
      <c r="C15" s="169">
        <v>6.5000000000000002E-2</v>
      </c>
      <c r="F15" s="125" t="s">
        <v>200</v>
      </c>
    </row>
    <row r="16" spans="1:10" ht="15.75" customHeight="1" thickBot="1" x14ac:dyDescent="0.2">
      <c r="B16" s="146" t="s">
        <v>208</v>
      </c>
      <c r="C16" s="183">
        <v>0.16</v>
      </c>
      <c r="D16" s="194" t="s">
        <v>211</v>
      </c>
      <c r="F16" s="125" t="s">
        <v>198</v>
      </c>
    </row>
    <row r="17" spans="1:8" ht="15.75" customHeight="1" thickTop="1" x14ac:dyDescent="0.15">
      <c r="B17" s="94" t="s">
        <v>201</v>
      </c>
      <c r="C17" s="193">
        <v>8.8000000000000009E-2</v>
      </c>
      <c r="D17" s="188"/>
    </row>
    <row r="18" spans="1:8" ht="15.75" customHeight="1" x14ac:dyDescent="0.15"/>
    <row r="19" spans="1:8" ht="15.75" customHeight="1" x14ac:dyDescent="0.15">
      <c r="B19" s="184" t="s">
        <v>204</v>
      </c>
      <c r="C19" s="174" t="s">
        <v>52</v>
      </c>
      <c r="D19" s="94"/>
      <c r="E19" s="94"/>
      <c r="F19" s="44"/>
      <c r="G19" s="94"/>
      <c r="H19" s="94"/>
    </row>
    <row r="20" spans="1:8" ht="15.75" customHeight="1" x14ac:dyDescent="0.15">
      <c r="B20" s="176" t="s">
        <v>185</v>
      </c>
      <c r="C20" s="177">
        <f>Fin_Analysis!F75</f>
        <v>0.66005868735054896</v>
      </c>
      <c r="F20" s="94"/>
      <c r="G20" s="29"/>
    </row>
    <row r="21" spans="1:8" ht="15.75" customHeight="1" x14ac:dyDescent="0.15">
      <c r="B21" s="176" t="s">
        <v>186</v>
      </c>
      <c r="C21" s="177">
        <f>Fin_Analysis!F77</f>
        <v>0.20403193785652382</v>
      </c>
      <c r="F21" s="94"/>
      <c r="G21" s="29"/>
    </row>
    <row r="22" spans="1:8" ht="15.75" customHeight="1" x14ac:dyDescent="0.15">
      <c r="B22" s="176" t="s">
        <v>187</v>
      </c>
      <c r="C22" s="177">
        <f>Fin_Analysis!F79</f>
        <v>7.0437342852983705E-5</v>
      </c>
      <c r="F22" s="184" t="s">
        <v>205</v>
      </c>
    </row>
    <row r="23" spans="1:8" ht="15.75" customHeight="1" x14ac:dyDescent="0.15">
      <c r="B23" s="176" t="s">
        <v>188</v>
      </c>
      <c r="C23" s="177">
        <f>Fin_Analysis!F80</f>
        <v>0.02</v>
      </c>
      <c r="F23" s="180" t="s">
        <v>209</v>
      </c>
      <c r="G23" s="187">
        <f>G3/(Data!C34*Data!E3/Common_Shares*Exchange_Rate)</f>
        <v>1.2981647890468229</v>
      </c>
    </row>
    <row r="24" spans="1:8" ht="15.75" customHeight="1" x14ac:dyDescent="0.15">
      <c r="B24" s="176" t="s">
        <v>189</v>
      </c>
      <c r="C24" s="177">
        <f>Fin_Analysis!F81</f>
        <v>0</v>
      </c>
      <c r="F24" s="180" t="s">
        <v>194</v>
      </c>
      <c r="G24" s="181">
        <f>(Fin_Analysis!E86*G7)/G3</f>
        <v>7.2270870979871615E-2</v>
      </c>
    </row>
    <row r="25" spans="1:8" ht="15.75" customHeight="1" x14ac:dyDescent="0.15">
      <c r="B25" s="176" t="s">
        <v>213</v>
      </c>
      <c r="C25" s="177">
        <f>Fin_Analysis!F82</f>
        <v>8.0000000000000004E-4</v>
      </c>
      <c r="F25" s="180" t="s">
        <v>193</v>
      </c>
      <c r="G25" s="177">
        <f>Fin_Analysis!F87</f>
        <v>0.480041023736138</v>
      </c>
    </row>
    <row r="26" spans="1:8" ht="15.75" customHeight="1" x14ac:dyDescent="0.15">
      <c r="B26" s="178" t="s">
        <v>191</v>
      </c>
      <c r="C26" s="177">
        <f>Fin_Analysis!F83</f>
        <v>0.11503893745007428</v>
      </c>
      <c r="F26" s="182" t="s">
        <v>215</v>
      </c>
      <c r="G26" s="181">
        <f>Fin_Analysis!E87*Exchange_Rate/G3</f>
        <v>3.4692982891479915E-2</v>
      </c>
    </row>
    <row r="27" spans="1:8" ht="15.75" customHeight="1" x14ac:dyDescent="0.15"/>
    <row r="28" spans="1:8" ht="15.75" customHeight="1" x14ac:dyDescent="0.15">
      <c r="A28" s="5"/>
      <c r="B28" s="99" t="s">
        <v>7</v>
      </c>
      <c r="C28" s="98" t="s">
        <v>182</v>
      </c>
      <c r="D28" s="43" t="s">
        <v>183</v>
      </c>
      <c r="E28" s="62"/>
      <c r="F28" s="53" t="s">
        <v>181</v>
      </c>
      <c r="G28" s="93"/>
      <c r="H28" s="93"/>
    </row>
    <row r="29" spans="1:8" ht="15.75" customHeight="1" x14ac:dyDescent="0.15">
      <c r="B29" s="94" t="s">
        <v>184</v>
      </c>
      <c r="C29" s="167">
        <f>IF(Fin_Analysis!C106="Profit",Fin_Analysis!E98,IF(Fin_Analysis!C106="Dividend",Fin_Analysis!E101,Fin_Analysis!E104))</f>
        <v>2.7933878896094413</v>
      </c>
      <c r="D29" s="166">
        <f>IF(Fin_Analysis!C106="Profit",Fin_Analysis!F98,IF(Fin_Analysis!C106="Dividend",Fin_Analysis!F101,Fin_Analysis!F104))</f>
        <v>4.6556464826824016</v>
      </c>
      <c r="E29" s="94"/>
      <c r="F29" s="168">
        <f>IF(Fin_Analysis!C106="Profit",Fin_Analysis!D98,IF(Fin_Analysis!C106="Dividend",Fin_Analysis!D101,Fin_Analysis!D104))</f>
        <v>3.7245171861459214</v>
      </c>
      <c r="H29" s="94"/>
    </row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disablePrompts="1"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topLeftCell="A10" zoomScale="137" zoomScaleNormal="70" workbookViewId="0">
      <pane xSplit="2" topLeftCell="D1" activePane="topRight" state="frozen"/>
      <selection activeCell="A4" sqref="A4"/>
      <selection pane="topRight" activeCell="E45" sqref="E45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15">
      <c r="A3" s="4"/>
      <c r="B3" s="116" t="s">
        <v>10</v>
      </c>
      <c r="C3" s="96">
        <v>45291</v>
      </c>
      <c r="D3" s="116" t="s">
        <v>11</v>
      </c>
      <c r="E3" s="92">
        <v>1000</v>
      </c>
      <c r="F3" s="1" t="str">
        <f>Dashboard!G6</f>
        <v>HKD</v>
      </c>
      <c r="G3" s="94"/>
      <c r="H3" s="3"/>
      <c r="I3" s="94"/>
      <c r="J3" s="42"/>
      <c r="K3" s="94"/>
      <c r="L3" s="94"/>
      <c r="M3" s="94"/>
    </row>
    <row r="4" spans="1:14" ht="15.75" customHeight="1" x14ac:dyDescent="0.15">
      <c r="A4" s="4"/>
      <c r="C4" s="94"/>
      <c r="F4" s="94"/>
      <c r="J4" s="94"/>
    </row>
    <row r="5" spans="1:14" ht="15.75" customHeight="1" x14ac:dyDescent="0.15">
      <c r="A5" s="16"/>
      <c r="B5" s="139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105" t="s">
        <v>12</v>
      </c>
      <c r="C6" s="58">
        <v>3833194</v>
      </c>
      <c r="D6" s="58">
        <v>4067732</v>
      </c>
      <c r="E6" s="58">
        <v>3866335</v>
      </c>
      <c r="F6" s="58">
        <v>3518847</v>
      </c>
      <c r="G6" s="58">
        <v>3087781</v>
      </c>
      <c r="H6" s="58">
        <v>2998828</v>
      </c>
      <c r="I6" s="58">
        <v>2902271</v>
      </c>
      <c r="J6" s="58">
        <v>2629905</v>
      </c>
      <c r="K6" s="58"/>
      <c r="L6" s="58"/>
      <c r="M6" s="58"/>
      <c r="N6" s="94"/>
    </row>
    <row r="7" spans="1:14" ht="15.75" customHeight="1" x14ac:dyDescent="0.15">
      <c r="A7" s="4"/>
      <c r="B7" s="107" t="s">
        <v>13</v>
      </c>
      <c r="C7" s="103">
        <f t="shared" ref="C7:M7" si="1">IF(D6="","",C6/D6-1)</f>
        <v>-5.7658174137332541E-2</v>
      </c>
      <c r="D7" s="103">
        <f t="shared" si="1"/>
        <v>5.2089899090482339E-2</v>
      </c>
      <c r="E7" s="103">
        <f t="shared" si="1"/>
        <v>9.8750528227001588E-2</v>
      </c>
      <c r="F7" s="103">
        <f t="shared" si="1"/>
        <v>0.13960381257608612</v>
      </c>
      <c r="G7" s="103">
        <f t="shared" si="1"/>
        <v>2.9662588184450778E-2</v>
      </c>
      <c r="H7" s="103">
        <f t="shared" si="1"/>
        <v>3.3269463809547872E-2</v>
      </c>
      <c r="I7" s="103">
        <f t="shared" si="1"/>
        <v>0.10356495766957363</v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15">
      <c r="A8" s="4"/>
      <c r="B8" s="108" t="s">
        <v>109</v>
      </c>
      <c r="C8" s="92">
        <v>2530133</v>
      </c>
      <c r="D8" s="92">
        <v>2764937</v>
      </c>
      <c r="E8" s="92">
        <v>2639016</v>
      </c>
      <c r="F8" s="92">
        <v>2360170</v>
      </c>
      <c r="G8" s="92">
        <v>2074351</v>
      </c>
      <c r="H8" s="92">
        <v>2065429</v>
      </c>
      <c r="I8" s="92">
        <v>1867706</v>
      </c>
      <c r="J8" s="92">
        <v>1588722</v>
      </c>
      <c r="K8" s="92"/>
      <c r="L8" s="92"/>
      <c r="M8" s="92"/>
      <c r="N8" s="94"/>
    </row>
    <row r="9" spans="1:14" ht="15.75" customHeight="1" x14ac:dyDescent="0.15">
      <c r="A9" s="4"/>
      <c r="B9" s="109" t="s">
        <v>105</v>
      </c>
      <c r="C9" s="101">
        <f t="shared" ref="C9:M9" si="2">IF(C6="","",(C6-C8))</f>
        <v>1303061</v>
      </c>
      <c r="D9" s="101">
        <f t="shared" si="2"/>
        <v>1302795</v>
      </c>
      <c r="E9" s="101">
        <f t="shared" si="2"/>
        <v>1227319</v>
      </c>
      <c r="F9" s="101">
        <f t="shared" si="2"/>
        <v>1158677</v>
      </c>
      <c r="G9" s="101">
        <f t="shared" si="2"/>
        <v>1013430</v>
      </c>
      <c r="H9" s="101">
        <f t="shared" si="2"/>
        <v>933399</v>
      </c>
      <c r="I9" s="101">
        <f t="shared" si="2"/>
        <v>1034565</v>
      </c>
      <c r="J9" s="101">
        <f t="shared" si="2"/>
        <v>1041183</v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15">
      <c r="A10" s="4"/>
      <c r="B10" s="108" t="s">
        <v>107</v>
      </c>
      <c r="C10" s="92">
        <v>829721</v>
      </c>
      <c r="D10" s="92">
        <v>842779</v>
      </c>
      <c r="E10" s="92">
        <v>769862</v>
      </c>
      <c r="F10" s="92">
        <v>714686</v>
      </c>
      <c r="G10" s="92">
        <v>676867</v>
      </c>
      <c r="H10" s="92">
        <v>648594</v>
      </c>
      <c r="I10" s="92">
        <v>767003</v>
      </c>
      <c r="J10" s="92">
        <v>750812</v>
      </c>
      <c r="K10" s="92"/>
      <c r="L10" s="92"/>
      <c r="M10" s="92"/>
      <c r="N10" s="94"/>
    </row>
    <row r="11" spans="1:14" ht="15.75" customHeight="1" x14ac:dyDescent="0.15">
      <c r="A11" s="4"/>
      <c r="B11" s="105" t="s">
        <v>100</v>
      </c>
      <c r="C11" s="97">
        <f t="shared" ref="C11:M11" si="3">IF(C6="","",(C12/C6))</f>
        <v>1.2424886400218721E-2</v>
      </c>
      <c r="D11" s="97">
        <f t="shared" si="3"/>
        <v>1.1287125110503839E-2</v>
      </c>
      <c r="E11" s="97">
        <f t="shared" si="3"/>
        <v>1.3080346115895286E-2</v>
      </c>
      <c r="F11" s="97">
        <f t="shared" si="3"/>
        <v>1.0390619427329464E-2</v>
      </c>
      <c r="G11" s="97">
        <f t="shared" si="3"/>
        <v>7.5050659356994554E-3</v>
      </c>
      <c r="H11" s="97">
        <f t="shared" si="3"/>
        <v>5.8856326538234268E-3</v>
      </c>
      <c r="I11" s="97">
        <f t="shared" si="3"/>
        <v>6.9300902637968679E-3</v>
      </c>
      <c r="J11" s="97">
        <f t="shared" si="3"/>
        <v>8.2200687857546181E-3</v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15">
      <c r="A12" s="4"/>
      <c r="B12" s="108" t="s">
        <v>108</v>
      </c>
      <c r="C12" s="92">
        <v>47627</v>
      </c>
      <c r="D12" s="92">
        <v>45913</v>
      </c>
      <c r="E12" s="92">
        <v>50573</v>
      </c>
      <c r="F12" s="92">
        <v>36563</v>
      </c>
      <c r="G12" s="92">
        <v>23174</v>
      </c>
      <c r="H12" s="92">
        <v>17650</v>
      </c>
      <c r="I12" s="92">
        <v>20113</v>
      </c>
      <c r="J12" s="92">
        <v>21618</v>
      </c>
      <c r="K12" s="92"/>
      <c r="L12" s="92"/>
      <c r="M12" s="92"/>
      <c r="N12" s="94"/>
    </row>
    <row r="13" spans="1:14" ht="15.75" customHeight="1" x14ac:dyDescent="0.15">
      <c r="A13" s="4"/>
      <c r="B13" s="109" t="s">
        <v>106</v>
      </c>
      <c r="C13" s="101">
        <f>IF(C6="","",(C9-C10+C12))</f>
        <v>520967</v>
      </c>
      <c r="D13" s="101">
        <f t="shared" ref="D13:M13" si="4">IF(D6="","",(D9-D10+D12))</f>
        <v>505929</v>
      </c>
      <c r="E13" s="101">
        <f t="shared" si="4"/>
        <v>508030</v>
      </c>
      <c r="F13" s="101">
        <f t="shared" si="4"/>
        <v>480554</v>
      </c>
      <c r="G13" s="101">
        <f t="shared" si="4"/>
        <v>359737</v>
      </c>
      <c r="H13" s="101">
        <f t="shared" si="4"/>
        <v>302455</v>
      </c>
      <c r="I13" s="101">
        <f t="shared" si="4"/>
        <v>287675</v>
      </c>
      <c r="J13" s="101">
        <f t="shared" si="4"/>
        <v>311989</v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15">
      <c r="A14" s="4"/>
      <c r="B14" s="108" t="s">
        <v>110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15">
      <c r="A15" s="4"/>
      <c r="B15" s="108" t="s">
        <v>111</v>
      </c>
      <c r="C15" s="92">
        <v>329600</v>
      </c>
      <c r="D15" s="92">
        <v>634000</v>
      </c>
      <c r="E15" s="92">
        <v>315900</v>
      </c>
      <c r="F15" s="92">
        <v>259700</v>
      </c>
      <c r="G15" s="92">
        <v>283600</v>
      </c>
      <c r="H15" s="92">
        <v>215300</v>
      </c>
      <c r="I15" s="92">
        <v>259700</v>
      </c>
      <c r="J15" s="92">
        <v>467600</v>
      </c>
      <c r="K15" s="92"/>
      <c r="L15" s="92"/>
      <c r="M15" s="92"/>
      <c r="N15" s="94"/>
    </row>
    <row r="16" spans="1:14" ht="15.75" customHeight="1" x14ac:dyDescent="0.15">
      <c r="A16" s="4"/>
      <c r="B16" s="108" t="s">
        <v>113</v>
      </c>
      <c r="C16" s="92">
        <v>-212109</v>
      </c>
      <c r="D16" s="92">
        <v>-63909</v>
      </c>
      <c r="E16" s="92">
        <v>-85212</v>
      </c>
      <c r="F16" s="92">
        <v>-137953</v>
      </c>
      <c r="G16" s="92">
        <v>-184857</v>
      </c>
      <c r="H16" s="92">
        <v>-59025</v>
      </c>
      <c r="I16" s="92">
        <v>-13114</v>
      </c>
      <c r="J16" s="92">
        <v>-55207</v>
      </c>
      <c r="K16" s="92"/>
      <c r="L16" s="92"/>
      <c r="M16" s="92"/>
      <c r="N16" s="94"/>
    </row>
    <row r="17" spans="1:14" ht="15.75" customHeight="1" x14ac:dyDescent="0.15">
      <c r="A17" s="4"/>
      <c r="B17" s="108" t="s">
        <v>129</v>
      </c>
      <c r="C17" s="92">
        <v>270</v>
      </c>
      <c r="D17" s="92">
        <v>259</v>
      </c>
      <c r="E17" s="92">
        <v>365</v>
      </c>
      <c r="F17" s="92">
        <v>116</v>
      </c>
      <c r="G17" s="92">
        <v>64</v>
      </c>
      <c r="H17" s="92">
        <v>0</v>
      </c>
      <c r="I17" s="92">
        <v>0</v>
      </c>
      <c r="J17" s="92">
        <v>0</v>
      </c>
      <c r="K17" s="92"/>
      <c r="L17" s="92"/>
      <c r="M17" s="92"/>
      <c r="N17" s="94"/>
    </row>
    <row r="18" spans="1:14" ht="15.75" customHeight="1" x14ac:dyDescent="0.15">
      <c r="A18" s="4"/>
      <c r="B18" s="110" t="s">
        <v>114</v>
      </c>
      <c r="C18" s="92">
        <v>2980</v>
      </c>
      <c r="D18" s="92">
        <v>30135</v>
      </c>
      <c r="E18" s="92">
        <v>35414</v>
      </c>
      <c r="F18" s="92">
        <v>30652</v>
      </c>
      <c r="G18" s="92">
        <v>27954</v>
      </c>
      <c r="H18" s="92">
        <v>25134</v>
      </c>
      <c r="I18" s="92">
        <v>25097</v>
      </c>
      <c r="J18" s="92">
        <v>16390</v>
      </c>
      <c r="K18" s="92"/>
      <c r="L18" s="92"/>
      <c r="M18" s="92"/>
      <c r="N18" s="94"/>
    </row>
    <row r="19" spans="1:14" ht="15.75" customHeight="1" x14ac:dyDescent="0.15">
      <c r="A19" s="4"/>
      <c r="B19" s="105" t="s">
        <v>115</v>
      </c>
      <c r="C19" s="95">
        <f>IF(C6="","",C13-C14-MAX(C15,0)-MAX(C16,0)-C17-MAX(C18/(1-Fin_Analysis!$F$84),0))</f>
        <v>187276.48717948719</v>
      </c>
      <c r="D19" s="95">
        <f>IF(D6="","",D13-D14-MAX(D15,0)-MAX(D16,0)-D17-MAX(D18/(1-Fin_Analysis!$F$84),0))</f>
        <v>-166964.61538461538</v>
      </c>
      <c r="E19" s="95">
        <f>IF(E6="","",E13-E14-MAX(E15,0)-MAX(E16,0)-E17-MAX(E18/(1-Fin_Analysis!$F$84),0))</f>
        <v>146362.43589743591</v>
      </c>
      <c r="F19" s="95">
        <f>IF(F6="","",F13-F14-MAX(F15,0)-MAX(F16,0)-F17-MAX(F18/(1-Fin_Analysis!$F$84),0))</f>
        <v>181440.56410256409</v>
      </c>
      <c r="G19" s="95">
        <f>IF(G6="","",G13-G14-MAX(G15,0)-MAX(G16,0)-G17-MAX(G18/(1-Fin_Analysis!$F$84),0))</f>
        <v>40234.538461538461</v>
      </c>
      <c r="H19" s="95">
        <f>IF(H6="","",H13-H14-MAX(H15,0)-MAX(H16,0)-H17-MAX(H18/(1-Fin_Analysis!$F$84),0))</f>
        <v>54931.923076923078</v>
      </c>
      <c r="I19" s="95">
        <f>IF(I6="","",I13-I14-MAX(I15,0)-MAX(I16,0)-I17-MAX(I18/(1-Fin_Analysis!$F$84),0))</f>
        <v>-4200.6410256410236</v>
      </c>
      <c r="J19" s="95">
        <f>IF(J6="","",J13-J14-MAX(J15,0)-MAX(J16,0)-J17-MAX(J18/(1-Fin_Analysis!$F$84),0))</f>
        <v>-176623.8205128205</v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15">
      <c r="A20" s="4"/>
      <c r="B20" s="109" t="s">
        <v>116</v>
      </c>
      <c r="C20" s="57" t="str">
        <f>IF(D19="","",IF(ABS(C19+D19)=ABS(C19)+ABS(D19),IF(C19&lt;0,-1,1)*(C19-D19)/D19,"Turn"))</f>
        <v>Turn</v>
      </c>
      <c r="D20" s="57" t="str">
        <f t="shared" ref="D20:M20" si="5">IF(E19="","",IF(ABS(D19+E19)=ABS(D19)+ABS(E19),IF(D19&lt;0,-1,1)*(D19-E19)/E19,"Turn"))</f>
        <v>Turn</v>
      </c>
      <c r="E20" s="57">
        <f t="shared" si="5"/>
        <v>-0.19333123427294541</v>
      </c>
      <c r="F20" s="57">
        <f t="shared" si="5"/>
        <v>3.5095723982520437</v>
      </c>
      <c r="G20" s="57">
        <f t="shared" si="5"/>
        <v>-0.26755634596668604</v>
      </c>
      <c r="H20" s="57" t="str">
        <f t="shared" si="5"/>
        <v>Turn</v>
      </c>
      <c r="I20" s="57">
        <f t="shared" si="5"/>
        <v>0.97621701867027544</v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15">
      <c r="A21" s="4"/>
      <c r="B21" s="111" t="s">
        <v>117</v>
      </c>
      <c r="C21" s="56">
        <f t="shared" ref="C21:M21" si="6">IF(C6="","",C22/C6)</f>
        <v>3.8108079058873617E-2</v>
      </c>
      <c r="D21" s="56">
        <f t="shared" si="6"/>
        <v>-3.2015973520379416E-2</v>
      </c>
      <c r="E21" s="56">
        <f t="shared" si="6"/>
        <v>2.9527368942422218E-2</v>
      </c>
      <c r="F21" s="56">
        <f t="shared" si="6"/>
        <v>4.0218753472373192E-2</v>
      </c>
      <c r="G21" s="56">
        <f t="shared" si="6"/>
        <v>1.0163589969625438E-2</v>
      </c>
      <c r="H21" s="56">
        <f t="shared" si="6"/>
        <v>1.4287881799156204E-2</v>
      </c>
      <c r="I21" s="56">
        <f t="shared" si="6"/>
        <v>-1.1289435066539268E-3</v>
      </c>
      <c r="J21" s="56">
        <f t="shared" si="6"/>
        <v>-5.2384622258218445E-2</v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15">
      <c r="A22" s="4"/>
      <c r="B22" s="113" t="s">
        <v>118</v>
      </c>
      <c r="C22" s="102">
        <f>IF(C6="","",C19*(1-Fin_Analysis!$F$84))</f>
        <v>146075.66</v>
      </c>
      <c r="D22" s="95">
        <f>IF(D6="","",D19*(1-Fin_Analysis!$F$84))</f>
        <v>-130232.4</v>
      </c>
      <c r="E22" s="95">
        <f>IF(E6="","",E19*(1-Fin_Analysis!$F$84))</f>
        <v>114162.70000000001</v>
      </c>
      <c r="F22" s="95">
        <f>IF(F6="","",F19*(1-Fin_Analysis!$F$84))</f>
        <v>141523.63999999998</v>
      </c>
      <c r="G22" s="95">
        <f>IF(G6="","",G19*(1-Fin_Analysis!$F$84))</f>
        <v>31382.940000000002</v>
      </c>
      <c r="H22" s="95">
        <f>IF(H6="","",H19*(1-Fin_Analysis!$F$84))</f>
        <v>42846.9</v>
      </c>
      <c r="I22" s="95">
        <f>IF(I6="","",I19*(1-Fin_Analysis!$F$84))</f>
        <v>-3276.4999999999986</v>
      </c>
      <c r="J22" s="95">
        <f>IF(J6="","",J19*(1-Fin_Analysis!$F$84))</f>
        <v>-137766.57999999999</v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2">
      <c r="A23" s="4"/>
      <c r="B23" s="112" t="s">
        <v>138</v>
      </c>
      <c r="C23" s="80" t="str">
        <f>IF(D22="","",IF(ABS(C22+D22)=ABS(C22)+ABS(D22),IF(C22&lt;0,-1,1)*(C22-D22)/D22,"Turn"))</f>
        <v>Turn</v>
      </c>
      <c r="D23" s="80" t="str">
        <f t="shared" ref="D23:M23" si="7">IF(E22="","",IF(ABS(D22+E22)=ABS(D22)+ABS(E22),IF(D22&lt;0,-1,1)*(D22-E22)/E22,"Turn"))</f>
        <v>Turn</v>
      </c>
      <c r="E23" s="80">
        <f t="shared" si="7"/>
        <v>-0.19333123427294532</v>
      </c>
      <c r="F23" s="80">
        <f t="shared" si="7"/>
        <v>3.5095723982520433</v>
      </c>
      <c r="G23" s="80">
        <f t="shared" si="7"/>
        <v>-0.26755634596668598</v>
      </c>
      <c r="H23" s="80" t="str">
        <f t="shared" si="7"/>
        <v>Turn</v>
      </c>
      <c r="I23" s="80">
        <f t="shared" si="7"/>
        <v>0.97621701867027544</v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15">
      <c r="A24" s="16"/>
      <c r="B24" s="138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15">
      <c r="A25" s="4"/>
      <c r="B25" s="105" t="s">
        <v>14</v>
      </c>
      <c r="C25" s="41">
        <f t="shared" ref="C25:M25" si="17">IF(C6="","",C34+C29+C30)</f>
        <v>4569346</v>
      </c>
      <c r="D25" s="41">
        <f t="shared" si="17"/>
        <v>4683733</v>
      </c>
      <c r="E25" s="41">
        <f t="shared" si="17"/>
        <v>5259569</v>
      </c>
      <c r="F25" s="41">
        <f t="shared" si="17"/>
        <v>5183875</v>
      </c>
      <c r="G25" s="41">
        <f t="shared" si="17"/>
        <v>4633930</v>
      </c>
      <c r="H25" s="41">
        <f t="shared" si="17"/>
        <v>4444372</v>
      </c>
      <c r="I25" s="41">
        <f t="shared" si="17"/>
        <v>0</v>
      </c>
      <c r="J25" s="41">
        <f t="shared" si="17"/>
        <v>0</v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15">
      <c r="A26" s="4"/>
      <c r="B26" s="105" t="s">
        <v>15</v>
      </c>
      <c r="C26" s="41">
        <f>Fin_Analysis!C28</f>
        <v>2422539</v>
      </c>
      <c r="D26" s="92">
        <v>2504156</v>
      </c>
      <c r="E26" s="92">
        <v>3108899</v>
      </c>
      <c r="F26" s="92">
        <v>3296593</v>
      </c>
      <c r="G26" s="92">
        <v>2995218</v>
      </c>
      <c r="H26" s="92">
        <v>2922746</v>
      </c>
      <c r="I26" s="92">
        <v>2928529</v>
      </c>
      <c r="J26" s="92">
        <v>2035257</v>
      </c>
      <c r="K26" s="92"/>
      <c r="L26" s="92"/>
      <c r="M26" s="92"/>
      <c r="N26" s="94"/>
    </row>
    <row r="27" spans="1:14" ht="15.75" customHeight="1" x14ac:dyDescent="0.15">
      <c r="A27" s="4"/>
      <c r="B27" s="105" t="s">
        <v>121</v>
      </c>
      <c r="C27" s="41">
        <f>Fin_Analysis!C13</f>
        <v>422018</v>
      </c>
      <c r="D27" s="92">
        <v>372854</v>
      </c>
      <c r="E27" s="92">
        <v>475382</v>
      </c>
      <c r="F27" s="92">
        <v>508545</v>
      </c>
      <c r="G27" s="92">
        <v>421056</v>
      </c>
      <c r="H27" s="92">
        <v>449932</v>
      </c>
      <c r="I27" s="92">
        <v>420626</v>
      </c>
      <c r="J27" s="92">
        <v>296371</v>
      </c>
      <c r="K27" s="92"/>
      <c r="L27" s="92"/>
      <c r="M27" s="92"/>
      <c r="N27" s="94"/>
    </row>
    <row r="28" spans="1:14" ht="15.75" customHeight="1" x14ac:dyDescent="0.15">
      <c r="A28" s="4"/>
      <c r="B28" s="105" t="s">
        <v>161</v>
      </c>
      <c r="C28" s="41">
        <f>Fin_Analysis!C18</f>
        <v>370793</v>
      </c>
      <c r="D28" s="92">
        <v>415015</v>
      </c>
      <c r="E28" s="92">
        <v>464999</v>
      </c>
      <c r="F28" s="92">
        <v>363144</v>
      </c>
      <c r="G28" s="92">
        <v>326593</v>
      </c>
      <c r="H28" s="92">
        <v>294086</v>
      </c>
      <c r="I28" s="92">
        <v>290728</v>
      </c>
      <c r="J28" s="92">
        <v>215131</v>
      </c>
      <c r="K28" s="92"/>
      <c r="L28" s="92"/>
      <c r="M28" s="92"/>
      <c r="N28" s="94"/>
    </row>
    <row r="29" spans="1:14" ht="15.75" customHeight="1" x14ac:dyDescent="0.15">
      <c r="A29" s="4"/>
      <c r="B29" s="105" t="s">
        <v>16</v>
      </c>
      <c r="C29" s="41">
        <f>Fin_Analysis!I28</f>
        <v>803015</v>
      </c>
      <c r="D29" s="92">
        <v>896185</v>
      </c>
      <c r="E29" s="92">
        <v>1060434</v>
      </c>
      <c r="F29" s="92">
        <v>1065331</v>
      </c>
      <c r="G29" s="92">
        <v>859227</v>
      </c>
      <c r="H29" s="92">
        <v>796096</v>
      </c>
      <c r="I29" s="92"/>
      <c r="J29" s="92"/>
      <c r="K29" s="92"/>
      <c r="L29" s="92"/>
      <c r="M29" s="92"/>
      <c r="N29" s="94"/>
    </row>
    <row r="30" spans="1:14" ht="15.75" customHeight="1" x14ac:dyDescent="0.15">
      <c r="A30" s="4"/>
      <c r="B30" s="105" t="s">
        <v>120</v>
      </c>
      <c r="C30" s="41">
        <f>Fin_Analysis!I48</f>
        <v>100207</v>
      </c>
      <c r="D30" s="92">
        <v>112845</v>
      </c>
      <c r="E30" s="92">
        <v>82874</v>
      </c>
      <c r="F30" s="92">
        <v>75361</v>
      </c>
      <c r="G30" s="92">
        <v>62385</v>
      </c>
      <c r="H30" s="92">
        <v>53103</v>
      </c>
      <c r="I30" s="92"/>
      <c r="J30" s="92"/>
      <c r="K30" s="92"/>
      <c r="L30" s="92"/>
      <c r="M30" s="92"/>
      <c r="N30" s="94"/>
    </row>
    <row r="31" spans="1:14" ht="15.5" customHeight="1" x14ac:dyDescent="0.15">
      <c r="A31" s="4"/>
      <c r="B31" s="105" t="s">
        <v>17</v>
      </c>
      <c r="C31" s="41">
        <f>Fin_Analysis!I15</f>
        <v>5523</v>
      </c>
      <c r="D31" s="92">
        <v>8558</v>
      </c>
      <c r="E31" s="92">
        <v>5576</v>
      </c>
      <c r="F31" s="92">
        <v>7278</v>
      </c>
      <c r="G31" s="92">
        <v>1660</v>
      </c>
      <c r="H31" s="92">
        <v>0</v>
      </c>
      <c r="I31" s="92"/>
      <c r="J31" s="92"/>
      <c r="K31" s="92"/>
      <c r="L31" s="92"/>
      <c r="M31" s="92"/>
      <c r="N31" s="94"/>
    </row>
    <row r="32" spans="1:14" ht="15.75" customHeight="1" x14ac:dyDescent="0.15">
      <c r="A32" s="4"/>
      <c r="B32" s="105" t="s">
        <v>18</v>
      </c>
      <c r="C32" s="41">
        <f>Fin_Analysis!I34</f>
        <v>2115</v>
      </c>
      <c r="D32" s="92">
        <v>1113</v>
      </c>
      <c r="E32" s="92">
        <v>5636</v>
      </c>
      <c r="F32" s="92">
        <v>9396</v>
      </c>
      <c r="G32" s="92">
        <v>131</v>
      </c>
      <c r="H32" s="92">
        <v>0</v>
      </c>
      <c r="I32" s="92"/>
      <c r="J32" s="92"/>
      <c r="K32" s="92"/>
      <c r="L32" s="92"/>
      <c r="M32" s="92"/>
      <c r="N32" s="94"/>
    </row>
    <row r="33" spans="1:14" ht="15.75" customHeight="1" x14ac:dyDescent="0.15">
      <c r="A33" s="4"/>
      <c r="B33" s="105" t="s">
        <v>19</v>
      </c>
      <c r="C33" s="95">
        <f t="shared" ref="C33:M33" si="18">IF(C6="","",C31+C32)</f>
        <v>7638</v>
      </c>
      <c r="D33" s="95">
        <f t="shared" si="18"/>
        <v>9671</v>
      </c>
      <c r="E33" s="95">
        <f t="shared" si="18"/>
        <v>11212</v>
      </c>
      <c r="F33" s="95">
        <f t="shared" si="18"/>
        <v>16674</v>
      </c>
      <c r="G33" s="95">
        <f t="shared" si="18"/>
        <v>1791</v>
      </c>
      <c r="H33" s="95">
        <f t="shared" si="18"/>
        <v>0</v>
      </c>
      <c r="I33" s="95">
        <f t="shared" si="18"/>
        <v>0</v>
      </c>
      <c r="J33" s="95">
        <f t="shared" si="18"/>
        <v>0</v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15">
      <c r="A34" s="4"/>
      <c r="B34" s="105" t="s">
        <v>150</v>
      </c>
      <c r="C34" s="41">
        <f>Fin_Analysis!D3</f>
        <v>3666124</v>
      </c>
      <c r="D34" s="92">
        <v>3674703</v>
      </c>
      <c r="E34" s="92">
        <v>4116261</v>
      </c>
      <c r="F34" s="92">
        <v>4043183</v>
      </c>
      <c r="G34" s="92">
        <v>3712318</v>
      </c>
      <c r="H34" s="92">
        <v>3595173</v>
      </c>
      <c r="I34" s="92"/>
      <c r="J34" s="92"/>
      <c r="K34" s="92"/>
      <c r="L34" s="92"/>
      <c r="M34" s="92"/>
      <c r="N34" s="94"/>
    </row>
    <row r="35" spans="1:14" ht="15.75" customHeight="1" x14ac:dyDescent="0.15">
      <c r="A35" s="4"/>
      <c r="B35" s="105" t="s">
        <v>151</v>
      </c>
      <c r="C35" s="41">
        <f>Fin_Analysis!D4</f>
        <v>45613</v>
      </c>
      <c r="D35" s="92">
        <v>43262</v>
      </c>
      <c r="E35" s="92">
        <v>165622</v>
      </c>
      <c r="F35" s="92">
        <v>143504</v>
      </c>
      <c r="G35" s="92">
        <v>122753</v>
      </c>
      <c r="H35" s="92">
        <v>114637</v>
      </c>
      <c r="I35" s="92"/>
      <c r="J35" s="92"/>
      <c r="K35" s="92"/>
      <c r="L35" s="92"/>
      <c r="M35" s="92"/>
      <c r="N35" s="94"/>
    </row>
    <row r="36" spans="1:14" ht="15.75" customHeight="1" x14ac:dyDescent="0.15">
      <c r="A36" s="4"/>
      <c r="B36" s="105" t="s">
        <v>149</v>
      </c>
      <c r="C36" s="41">
        <f>Fin_Analysis!C63</f>
        <v>1668632</v>
      </c>
      <c r="D36" s="92">
        <v>1696980</v>
      </c>
      <c r="E36" s="92">
        <v>2130407</v>
      </c>
      <c r="F36" s="92">
        <v>2344902</v>
      </c>
      <c r="G36" s="92">
        <v>2164713</v>
      </c>
      <c r="H36" s="92">
        <v>2079261</v>
      </c>
      <c r="I36" s="92"/>
      <c r="J36" s="92"/>
      <c r="K36" s="92"/>
      <c r="L36" s="92"/>
      <c r="M36" s="92"/>
      <c r="N36" s="94"/>
    </row>
    <row r="37" spans="1:14" ht="15.75" customHeight="1" x14ac:dyDescent="0.15">
      <c r="A37" s="4"/>
      <c r="B37" s="105" t="s">
        <v>153</v>
      </c>
      <c r="C37" s="41">
        <f>Fin_Analysis!C68</f>
        <v>2900714</v>
      </c>
      <c r="D37" s="41">
        <f t="shared" ref="D37:M37" si="19">IF(D6="","",D25-D36)</f>
        <v>2986753</v>
      </c>
      <c r="E37" s="41">
        <f t="shared" si="19"/>
        <v>3129162</v>
      </c>
      <c r="F37" s="41">
        <f t="shared" si="19"/>
        <v>2838973</v>
      </c>
      <c r="G37" s="41">
        <f t="shared" si="19"/>
        <v>2469217</v>
      </c>
      <c r="H37" s="41">
        <f t="shared" si="19"/>
        <v>2365111</v>
      </c>
      <c r="I37" s="41">
        <f t="shared" si="19"/>
        <v>0</v>
      </c>
      <c r="J37" s="41">
        <f t="shared" si="19"/>
        <v>0</v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15">
      <c r="A38" s="4"/>
      <c r="B38" s="109" t="s">
        <v>171</v>
      </c>
      <c r="C38" s="104">
        <f>IF(C6="","",C19/C37)</f>
        <v>6.4562203367683674E-2</v>
      </c>
      <c r="D38" s="104">
        <f t="shared" ref="D38:M38" si="20">IF(D6="","",D19/D37)</f>
        <v>-5.5901715135002923E-2</v>
      </c>
      <c r="E38" s="104">
        <f t="shared" si="20"/>
        <v>4.6773684423317141E-2</v>
      </c>
      <c r="F38" s="104">
        <f t="shared" si="20"/>
        <v>6.3910633916759371E-2</v>
      </c>
      <c r="G38" s="104">
        <f t="shared" si="20"/>
        <v>1.6294452233861365E-2</v>
      </c>
      <c r="H38" s="104">
        <f t="shared" si="20"/>
        <v>2.3225938688257369E-2</v>
      </c>
      <c r="I38" s="104" t="e">
        <f t="shared" si="20"/>
        <v>#DIV/0!</v>
      </c>
      <c r="J38" s="104" t="e">
        <f t="shared" si="20"/>
        <v>#DIV/0!</v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15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15">
      <c r="A40" s="4"/>
      <c r="B40" s="106" t="s">
        <v>99</v>
      </c>
      <c r="C40" s="61">
        <f t="shared" ref="C40:M40" si="21">IF(C6="","",C8/C6)</f>
        <v>0.66005868735054896</v>
      </c>
      <c r="D40" s="61">
        <f t="shared" si="21"/>
        <v>0.67972447545708514</v>
      </c>
      <c r="E40" s="61">
        <f t="shared" si="21"/>
        <v>0.68256268533378506</v>
      </c>
      <c r="F40" s="61">
        <f t="shared" si="21"/>
        <v>0.67072254065038917</v>
      </c>
      <c r="G40" s="61">
        <f t="shared" si="21"/>
        <v>0.67179343353689913</v>
      </c>
      <c r="H40" s="61">
        <f t="shared" si="21"/>
        <v>0.68874540320418509</v>
      </c>
      <c r="I40" s="61">
        <f t="shared" si="21"/>
        <v>0.64353259912668392</v>
      </c>
      <c r="J40" s="61">
        <f t="shared" si="21"/>
        <v>0.60409862713672169</v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15">
      <c r="A41" s="4"/>
      <c r="B41" s="105" t="s">
        <v>126</v>
      </c>
      <c r="C41" s="56">
        <f t="shared" ref="C41:M41" si="22">IF(C6="","",(C10-C12)/C6)</f>
        <v>0.20403193785652382</v>
      </c>
      <c r="D41" s="56">
        <f t="shared" si="22"/>
        <v>0.19589933653446195</v>
      </c>
      <c r="E41" s="56">
        <f t="shared" si="22"/>
        <v>0.18603897489482935</v>
      </c>
      <c r="F41" s="56">
        <f t="shared" si="22"/>
        <v>0.19271170357790493</v>
      </c>
      <c r="G41" s="56">
        <f t="shared" si="22"/>
        <v>0.21170316159079935</v>
      </c>
      <c r="H41" s="56">
        <f t="shared" si="22"/>
        <v>0.21039686170730698</v>
      </c>
      <c r="I41" s="56">
        <f t="shared" si="22"/>
        <v>0.25734674673729641</v>
      </c>
      <c r="J41" s="56">
        <f t="shared" si="22"/>
        <v>0.27727009150520648</v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15">
      <c r="A42" s="4"/>
      <c r="B42" s="105" t="s">
        <v>101</v>
      </c>
      <c r="C42" s="56">
        <f t="shared" ref="C42:M42" si="23">IF(C6="","",(C14+MAX(C15,0))/C6)</f>
        <v>8.5985734090160845E-2</v>
      </c>
      <c r="D42" s="56">
        <f t="shared" si="23"/>
        <v>0.15586080892251505</v>
      </c>
      <c r="E42" s="56">
        <f t="shared" si="23"/>
        <v>8.1705284203257095E-2</v>
      </c>
      <c r="F42" s="56">
        <f t="shared" si="23"/>
        <v>7.3802583630376659E-2</v>
      </c>
      <c r="G42" s="56">
        <f t="shared" si="23"/>
        <v>9.1845891920443845E-2</v>
      </c>
      <c r="H42" s="56">
        <f t="shared" si="23"/>
        <v>7.1794714468452342E-2</v>
      </c>
      <c r="I42" s="56">
        <f t="shared" si="23"/>
        <v>8.9481650748672328E-2</v>
      </c>
      <c r="J42" s="56">
        <f t="shared" si="23"/>
        <v>0.17780109927925153</v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15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0</v>
      </c>
      <c r="E43" s="56">
        <f t="shared" si="24"/>
        <v>0</v>
      </c>
      <c r="F43" s="56">
        <f t="shared" si="24"/>
        <v>0</v>
      </c>
      <c r="G43" s="56">
        <f t="shared" si="24"/>
        <v>0</v>
      </c>
      <c r="H43" s="56">
        <f t="shared" si="24"/>
        <v>0</v>
      </c>
      <c r="I43" s="56">
        <f t="shared" si="24"/>
        <v>0</v>
      </c>
      <c r="J43" s="56">
        <f t="shared" si="24"/>
        <v>0</v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15">
      <c r="A44" s="4"/>
      <c r="B44" s="105" t="s">
        <v>127</v>
      </c>
      <c r="C44" s="56">
        <f t="shared" ref="C44:M44" si="25">IF(C6="","",C17/C6)</f>
        <v>7.0437342852983705E-5</v>
      </c>
      <c r="D44" s="56">
        <f t="shared" si="25"/>
        <v>6.3671844654465925E-5</v>
      </c>
      <c r="E44" s="56">
        <f t="shared" si="25"/>
        <v>9.440464936432048E-5</v>
      </c>
      <c r="F44" s="56">
        <f t="shared" si="25"/>
        <v>3.2965343477565238E-5</v>
      </c>
      <c r="G44" s="56">
        <f t="shared" si="25"/>
        <v>2.0726858543400585E-5</v>
      </c>
      <c r="H44" s="56">
        <f t="shared" si="25"/>
        <v>0</v>
      </c>
      <c r="I44" s="56">
        <f t="shared" si="25"/>
        <v>0</v>
      </c>
      <c r="J44" s="56">
        <f t="shared" si="25"/>
        <v>0</v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15">
      <c r="A45" s="4"/>
      <c r="B45" s="105" t="s">
        <v>139</v>
      </c>
      <c r="C45" s="56">
        <f>IF(C6="","",MAX(C18,0)/(1-Fin_Analysis!$F$84)/C6)</f>
        <v>9.9669174597289377E-4</v>
      </c>
      <c r="D45" s="56">
        <f>IF(D6="","",MAX(D18,0)/(1-Fin_Analysis!$F$84)/D6)</f>
        <v>9.4978271392056769E-3</v>
      </c>
      <c r="E45" s="56">
        <f>IF(E6="","",MAX(E18,0)/(1-Fin_Analysis!$F$84)/E6)</f>
        <v>1.1743049710530541E-2</v>
      </c>
      <c r="F45" s="56">
        <f>IF(F6="","",MAX(F18,0)/(1-Fin_Analysis!$F$84)/F6)</f>
        <v>1.1167702346091176E-2</v>
      </c>
      <c r="G45" s="56">
        <f>IF(G6="","",MAX(G18,0)/(1-Fin_Analysis!$F$84)/G6)</f>
        <v>1.160654254251242E-2</v>
      </c>
      <c r="H45" s="56">
        <f>IF(H6="","",MAX(H18,0)/(1-Fin_Analysis!$F$84)/H6)</f>
        <v>1.0745223441650178E-2</v>
      </c>
      <c r="I45" s="56">
        <f>IF(I6="","",MAX(I18,0)/(1-Fin_Analysis!$F$84)/I6)</f>
        <v>1.1086366857416494E-2</v>
      </c>
      <c r="J45" s="56">
        <f>IF(J6="","",MAX(J18,0)/(1-Fin_Analysis!$F$84)/J6)</f>
        <v>7.9899542047414309E-3</v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15">
      <c r="A46" s="4"/>
      <c r="B46" s="105" t="s">
        <v>130</v>
      </c>
      <c r="C46" s="56">
        <f t="shared" ref="C46:M46" si="26">IF(C6="","",C19/C6)</f>
        <v>4.8856511613940536E-2</v>
      </c>
      <c r="D46" s="56">
        <f t="shared" si="26"/>
        <v>-4.1046119897922326E-2</v>
      </c>
      <c r="E46" s="56">
        <f t="shared" si="26"/>
        <v>3.7855601208233614E-2</v>
      </c>
      <c r="F46" s="56">
        <f t="shared" si="26"/>
        <v>5.1562504451760506E-2</v>
      </c>
      <c r="G46" s="56">
        <f t="shared" si="26"/>
        <v>1.3030243550801842E-2</v>
      </c>
      <c r="H46" s="56">
        <f t="shared" si="26"/>
        <v>1.8317797178405391E-2</v>
      </c>
      <c r="I46" s="56">
        <f t="shared" si="26"/>
        <v>-1.4473634700691367E-3</v>
      </c>
      <c r="J46" s="56">
        <f t="shared" si="26"/>
        <v>-6.7159772125921086E-2</v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15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15">
      <c r="A48" s="4"/>
      <c r="B48" s="106" t="s">
        <v>159</v>
      </c>
      <c r="C48" s="61">
        <f t="shared" ref="C48:M48" si="27">IF(C6="","",C27/C6)</f>
        <v>0.11009565391159436</v>
      </c>
      <c r="D48" s="61">
        <f t="shared" si="27"/>
        <v>9.1661397555197838E-2</v>
      </c>
      <c r="E48" s="61">
        <f t="shared" si="27"/>
        <v>0.12295416718934081</v>
      </c>
      <c r="F48" s="61">
        <f t="shared" si="27"/>
        <v>0.1445203499896415</v>
      </c>
      <c r="G48" s="61">
        <f t="shared" si="27"/>
        <v>0.13636200235703244</v>
      </c>
      <c r="H48" s="61">
        <f t="shared" si="27"/>
        <v>0.1500359473767752</v>
      </c>
      <c r="I48" s="61">
        <f t="shared" si="27"/>
        <v>0.14492995312980766</v>
      </c>
      <c r="J48" s="61">
        <f t="shared" si="27"/>
        <v>0.11269266380344538</v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15">
      <c r="A49" s="4"/>
      <c r="B49" s="105" t="s">
        <v>160</v>
      </c>
      <c r="C49" s="56">
        <f t="shared" ref="C49:M49" si="28">IF(C6="","",C28/C6)</f>
        <v>9.6732124698097721E-2</v>
      </c>
      <c r="D49" s="56">
        <f t="shared" si="28"/>
        <v>0.10202614134854508</v>
      </c>
      <c r="E49" s="56">
        <f t="shared" si="28"/>
        <v>0.12026867821851961</v>
      </c>
      <c r="F49" s="56">
        <f t="shared" si="28"/>
        <v>0.10319971286049096</v>
      </c>
      <c r="G49" s="56">
        <f t="shared" si="28"/>
        <v>0.10576948300413792</v>
      </c>
      <c r="H49" s="56">
        <f t="shared" si="28"/>
        <v>9.8066978166136909E-2</v>
      </c>
      <c r="I49" s="56">
        <f t="shared" si="28"/>
        <v>0.10017258898290339</v>
      </c>
      <c r="J49" s="56">
        <f t="shared" si="28"/>
        <v>8.1801814133970613E-2</v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15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15">
      <c r="A51" s="4"/>
      <c r="B51" s="106" t="s">
        <v>20</v>
      </c>
      <c r="C51" s="61">
        <f>IF(C34="","",(C25-C34)/C25)</f>
        <v>0.19766986347718032</v>
      </c>
      <c r="D51" s="61">
        <f t="shared" ref="D51:M51" si="29">IF(D34="","",(D25-D34)/D25)</f>
        <v>0.21543286092524916</v>
      </c>
      <c r="E51" s="61">
        <f t="shared" si="29"/>
        <v>0.21737674703003232</v>
      </c>
      <c r="F51" s="61">
        <f t="shared" si="29"/>
        <v>0.22004620095970678</v>
      </c>
      <c r="G51" s="61">
        <f t="shared" si="29"/>
        <v>0.19888345313804912</v>
      </c>
      <c r="H51" s="61">
        <f t="shared" si="29"/>
        <v>0.19107288948809867</v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15">
      <c r="A52" s="4"/>
      <c r="B52" s="105" t="s">
        <v>125</v>
      </c>
      <c r="C52" s="60">
        <f t="shared" ref="C52:M52" si="30">IF(C19="","",IF(C33&lt;=0,"-",C19/C33))</f>
        <v>24.519047810878135</v>
      </c>
      <c r="D52" s="60">
        <f t="shared" si="30"/>
        <v>-17.264462349768934</v>
      </c>
      <c r="E52" s="60">
        <f t="shared" si="30"/>
        <v>13.054088110723859</v>
      </c>
      <c r="F52" s="60">
        <f t="shared" si="30"/>
        <v>10.881645921948188</v>
      </c>
      <c r="G52" s="60">
        <f t="shared" si="30"/>
        <v>22.464845595498861</v>
      </c>
      <c r="H52" s="60" t="str">
        <f t="shared" si="30"/>
        <v>-</v>
      </c>
      <c r="I52" s="60" t="str">
        <f t="shared" si="30"/>
        <v>-</v>
      </c>
      <c r="J52" s="60" t="str">
        <f t="shared" si="30"/>
        <v>-</v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15">
      <c r="A53" s="4"/>
      <c r="B53" s="105" t="s">
        <v>128</v>
      </c>
      <c r="C53" s="56">
        <f t="shared" ref="C53:M53" si="31">IF(C19="","",IF(C17&lt;=0,"-",C17/C19))</f>
        <v>1.4417186271826531E-3</v>
      </c>
      <c r="D53" s="56">
        <f t="shared" si="31"/>
        <v>-1.5512268836326444E-3</v>
      </c>
      <c r="E53" s="56">
        <f t="shared" si="31"/>
        <v>2.4938092739572558E-3</v>
      </c>
      <c r="F53" s="56">
        <f t="shared" si="31"/>
        <v>6.3932781830653882E-4</v>
      </c>
      <c r="G53" s="56">
        <f t="shared" si="31"/>
        <v>1.5906731491695807E-3</v>
      </c>
      <c r="H53" s="56" t="str">
        <f t="shared" si="31"/>
        <v>-</v>
      </c>
      <c r="I53" s="56" t="str">
        <f t="shared" si="31"/>
        <v>-</v>
      </c>
      <c r="J53" s="56" t="str">
        <f t="shared" si="31"/>
        <v>-</v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15">
      <c r="A54" s="4"/>
      <c r="B54" s="109" t="s">
        <v>21</v>
      </c>
      <c r="C54" s="62">
        <f t="shared" ref="C54:M54" si="32">IF(C26="","",C26/C29)</f>
        <v>3.0168041692869996</v>
      </c>
      <c r="D54" s="62">
        <f t="shared" si="32"/>
        <v>2.7942400285655307</v>
      </c>
      <c r="E54" s="62">
        <f t="shared" si="32"/>
        <v>2.9317232378441278</v>
      </c>
      <c r="F54" s="62">
        <f t="shared" si="32"/>
        <v>3.0944307449985029</v>
      </c>
      <c r="G54" s="62">
        <f t="shared" si="32"/>
        <v>3.4859449249150689</v>
      </c>
      <c r="H54" s="62">
        <f t="shared" si="32"/>
        <v>3.6713486815660423</v>
      </c>
      <c r="I54" s="62" t="e">
        <f t="shared" si="32"/>
        <v>#DIV/0!</v>
      </c>
      <c r="J54" s="62" t="e">
        <f t="shared" si="32"/>
        <v>#DIV/0!</v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15"/>
    <row r="56" spans="1:14" ht="15.75" customHeight="1" x14ac:dyDescent="0.15">
      <c r="A56" s="4"/>
    </row>
    <row r="57" spans="1:14" ht="15.75" customHeight="1" x14ac:dyDescent="0.15">
      <c r="A57" s="4"/>
    </row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/>
    <row r="247" spans="1:1" ht="15.75" customHeight="1" x14ac:dyDescent="0.15"/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</sheetData>
  <phoneticPr fontId="20" type="noConversion"/>
  <conditionalFormatting sqref="C6:M21 C25:M38">
    <cfRule type="containsBlanks" dxfId="7" priority="3">
      <formula>LEN(TRIM(C6))=0</formula>
    </cfRule>
  </conditionalFormatting>
  <conditionalFormatting sqref="C23:M23">
    <cfRule type="containsBlanks" dxfId="6" priority="2">
      <formula>LEN(TRIM(C23))=0</formula>
    </cfRule>
  </conditionalFormatting>
  <conditionalFormatting sqref="D22:M22">
    <cfRule type="containsBlanks" dxfId="5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abSelected="1" topLeftCell="A80" zoomScale="125" zoomScaleNormal="100" workbookViewId="0">
      <selection activeCell="F103" sqref="F103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7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15">
      <c r="B3" s="3" t="s">
        <v>23</v>
      </c>
      <c r="C3" s="94"/>
      <c r="D3" s="140">
        <f>C49-I49</f>
        <v>3666124</v>
      </c>
      <c r="E3" s="73" t="str">
        <f>IF((C49-I49)=D3,"", "Error!")</f>
        <v/>
      </c>
      <c r="F3" s="94"/>
      <c r="G3" s="94"/>
      <c r="H3" s="47" t="s">
        <v>24</v>
      </c>
      <c r="I3" s="59">
        <v>3620511</v>
      </c>
      <c r="K3" s="24"/>
    </row>
    <row r="4" spans="1:11" ht="15" customHeight="1" x14ac:dyDescent="0.15">
      <c r="B4" s="3" t="s">
        <v>25</v>
      </c>
      <c r="C4" s="94"/>
      <c r="D4" s="69">
        <f>D3-I3</f>
        <v>45613</v>
      </c>
      <c r="E4" s="37"/>
      <c r="F4" s="94"/>
      <c r="G4" s="94"/>
      <c r="H4" s="21"/>
      <c r="I4" s="54"/>
      <c r="K4" s="24"/>
    </row>
    <row r="5" spans="1:11" ht="15" customHeight="1" x14ac:dyDescent="0.15">
      <c r="C5" s="94"/>
      <c r="D5" s="94"/>
      <c r="E5" s="11" t="s">
        <v>26</v>
      </c>
      <c r="H5" s="1" t="s">
        <v>28</v>
      </c>
      <c r="I5" s="67">
        <f>C28/I28</f>
        <v>3.0168041692869996</v>
      </c>
      <c r="K5" s="24"/>
    </row>
    <row r="6" spans="1:11" ht="15" customHeight="1" thickBot="1" x14ac:dyDescent="0.2">
      <c r="B6" s="20" t="s">
        <v>27</v>
      </c>
      <c r="C6" s="94"/>
      <c r="D6" s="75">
        <f>E49-I49-E53</f>
        <v>1260567.7094772072</v>
      </c>
      <c r="E6" s="56">
        <f>1-D6/D3</f>
        <v>0.6561579178780621</v>
      </c>
      <c r="F6" s="94"/>
      <c r="G6" s="94"/>
      <c r="H6" s="1" t="s">
        <v>30</v>
      </c>
      <c r="I6" s="67">
        <f>(C24+C25)/I28</f>
        <v>2.527144573887163</v>
      </c>
      <c r="J6" s="94"/>
      <c r="K6" s="24"/>
    </row>
    <row r="7" spans="1:11" ht="15" customHeight="1" thickTop="1" x14ac:dyDescent="0.15">
      <c r="B7" s="19" t="s">
        <v>29</v>
      </c>
      <c r="C7" s="94"/>
      <c r="D7" s="70">
        <f>MAX((D6*Exchange_Rate*Data!E3)/Common_Shares, 0)</f>
        <v>1.2077972596626037</v>
      </c>
      <c r="E7" s="11" t="str">
        <f>Dashboard!H3</f>
        <v>HKD</v>
      </c>
      <c r="H7" s="1" t="s">
        <v>31</v>
      </c>
      <c r="I7" s="67">
        <f>C24/I28</f>
        <v>2.447959253563134</v>
      </c>
      <c r="J7" s="94"/>
      <c r="K7" s="33"/>
    </row>
    <row r="8" spans="1:11" ht="15" customHeight="1" x14ac:dyDescent="0.15">
      <c r="C8" s="94"/>
      <c r="D8" s="94"/>
      <c r="E8" s="94"/>
      <c r="K8" s="24"/>
    </row>
    <row r="9" spans="1:11" ht="15" customHeight="1" x14ac:dyDescent="0.2">
      <c r="A9" s="2"/>
      <c r="B9" s="46" t="s">
        <v>32</v>
      </c>
      <c r="C9" s="93"/>
      <c r="D9" s="71">
        <v>45473</v>
      </c>
      <c r="E9" s="143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15">
      <c r="B10" s="3" t="s">
        <v>33</v>
      </c>
      <c r="C10" s="81" t="s">
        <v>34</v>
      </c>
      <c r="D10" s="81" t="s">
        <v>221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15">
      <c r="B11" s="3" t="s">
        <v>38</v>
      </c>
      <c r="C11" s="63">
        <v>1322113</v>
      </c>
      <c r="D11" s="64">
        <v>1</v>
      </c>
      <c r="E11" s="95">
        <f t="shared" ref="E11:E21" si="0">C11*D11</f>
        <v>1322113</v>
      </c>
      <c r="F11" s="127"/>
      <c r="G11" s="94"/>
      <c r="H11" s="3" t="s">
        <v>39</v>
      </c>
      <c r="I11" s="63"/>
      <c r="J11" s="94"/>
      <c r="K11" s="24"/>
    </row>
    <row r="12" spans="1:11" ht="14" x14ac:dyDescent="0.15">
      <c r="B12" s="1" t="s">
        <v>148</v>
      </c>
      <c r="C12" s="63"/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5523</v>
      </c>
      <c r="J12" s="94"/>
      <c r="K12" s="24"/>
    </row>
    <row r="13" spans="1:11" ht="14" x14ac:dyDescent="0.15">
      <c r="B13" s="3" t="s">
        <v>121</v>
      </c>
      <c r="C13" s="63">
        <v>422018</v>
      </c>
      <c r="D13" s="64">
        <v>0.8</v>
      </c>
      <c r="E13" s="95">
        <f t="shared" si="0"/>
        <v>337614.4</v>
      </c>
      <c r="F13" s="127"/>
      <c r="G13" s="94"/>
      <c r="H13" s="3" t="s">
        <v>41</v>
      </c>
      <c r="I13" s="63"/>
      <c r="J13" s="94"/>
      <c r="K13" s="26"/>
    </row>
    <row r="14" spans="1:11" ht="14" x14ac:dyDescent="0.15">
      <c r="B14" s="3" t="s">
        <v>42</v>
      </c>
      <c r="C14" s="63">
        <v>221617</v>
      </c>
      <c r="D14" s="64">
        <v>0.3</v>
      </c>
      <c r="E14" s="95">
        <f>C14*D14</f>
        <v>66485.099999999991</v>
      </c>
      <c r="F14" s="127"/>
      <c r="G14" s="94"/>
      <c r="H14" s="93" t="s">
        <v>43</v>
      </c>
      <c r="I14" s="144"/>
      <c r="J14" s="94"/>
      <c r="K14" s="27"/>
    </row>
    <row r="15" spans="1:11" ht="14" x14ac:dyDescent="0.15">
      <c r="B15" s="3" t="s">
        <v>44</v>
      </c>
      <c r="C15" s="63"/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5523</v>
      </c>
      <c r="J15" s="94"/>
    </row>
    <row r="16" spans="1:11" ht="14" x14ac:dyDescent="0.15">
      <c r="B16" s="1" t="s">
        <v>172</v>
      </c>
      <c r="C16" s="63"/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4" x14ac:dyDescent="0.15">
      <c r="B17" s="3" t="s">
        <v>122</v>
      </c>
      <c r="C17" s="63">
        <v>63587</v>
      </c>
      <c r="D17" s="64">
        <v>0.1</v>
      </c>
      <c r="E17" s="95">
        <f t="shared" si="0"/>
        <v>6358.7000000000007</v>
      </c>
      <c r="F17" s="127"/>
      <c r="G17" s="94"/>
      <c r="H17" s="3"/>
      <c r="I17" s="40"/>
      <c r="J17" s="94"/>
    </row>
    <row r="18" spans="2:10" ht="14" x14ac:dyDescent="0.15">
      <c r="B18" s="3" t="s">
        <v>47</v>
      </c>
      <c r="C18" s="63">
        <v>370793</v>
      </c>
      <c r="D18" s="64">
        <v>0.5</v>
      </c>
      <c r="E18" s="95">
        <f t="shared" si="0"/>
        <v>185396.5</v>
      </c>
      <c r="F18" s="127"/>
      <c r="G18" s="94"/>
      <c r="H18" s="94"/>
      <c r="I18" s="94"/>
    </row>
    <row r="19" spans="2:10" ht="14" x14ac:dyDescent="0.15">
      <c r="B19" s="1" t="s">
        <v>48</v>
      </c>
      <c r="C19" s="63"/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4" x14ac:dyDescent="0.15">
      <c r="B20" s="3" t="s">
        <v>124</v>
      </c>
      <c r="C20" s="63"/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63">
        <v>22411</v>
      </c>
      <c r="D21" s="64">
        <v>0.95</v>
      </c>
      <c r="E21" s="95">
        <f t="shared" si="0"/>
        <v>21290.45</v>
      </c>
      <c r="F21" s="127"/>
      <c r="G21" s="94"/>
      <c r="H21" s="3"/>
      <c r="I21" s="40"/>
    </row>
    <row r="22" spans="2:10" ht="15" customHeight="1" x14ac:dyDescent="0.15">
      <c r="B22" s="3" t="s">
        <v>51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797492</v>
      </c>
    </row>
    <row r="23" spans="2:10" ht="15" customHeight="1" x14ac:dyDescent="0.15">
      <c r="C23" s="94"/>
      <c r="D23" s="94"/>
      <c r="E23" s="94"/>
      <c r="F23" s="126" t="s">
        <v>52</v>
      </c>
      <c r="G23" s="94"/>
    </row>
    <row r="24" spans="2:10" ht="15" customHeight="1" x14ac:dyDescent="0.15">
      <c r="B24" s="23" t="s">
        <v>53</v>
      </c>
      <c r="C24" s="65">
        <f>SUM(C11:C14)</f>
        <v>1965748</v>
      </c>
      <c r="D24" s="66">
        <f>IF(E24=0,0,E24/C24)</f>
        <v>0.87814536756491679</v>
      </c>
      <c r="E24" s="95">
        <f>SUM(E11:E14)</f>
        <v>1726212.5</v>
      </c>
      <c r="F24" s="129">
        <f>E24/$E$28</f>
        <v>0.89014064476150334</v>
      </c>
      <c r="G24" s="94"/>
    </row>
    <row r="25" spans="2:10" ht="15" customHeight="1" x14ac:dyDescent="0.15">
      <c r="B25" s="23" t="s">
        <v>55</v>
      </c>
      <c r="C25" s="65">
        <f>SUM(C15:C17)</f>
        <v>63587</v>
      </c>
      <c r="D25" s="66">
        <f>IF(E25=0,0,E25/C25)</f>
        <v>0.1</v>
      </c>
      <c r="E25" s="95">
        <f>SUM(E15:E17)</f>
        <v>6358.7000000000007</v>
      </c>
      <c r="F25" s="129">
        <f t="shared" ref="F25:F27" si="2">E25/$E$28</f>
        <v>3.2789342666936843E-3</v>
      </c>
      <c r="G25" s="94"/>
      <c r="H25" s="23" t="s">
        <v>56</v>
      </c>
      <c r="I25" s="67">
        <f>E28/I28</f>
        <v>2.4149712645467392</v>
      </c>
    </row>
    <row r="26" spans="2:10" ht="15" customHeight="1" x14ac:dyDescent="0.15">
      <c r="B26" s="23" t="s">
        <v>57</v>
      </c>
      <c r="C26" s="65">
        <f>C18+C19+C20</f>
        <v>370793</v>
      </c>
      <c r="D26" s="66">
        <f t="shared" ref="D26:D27" si="3">IF(E26=0,0,E26/C26)</f>
        <v>0.5</v>
      </c>
      <c r="E26" s="95">
        <f>E18+E19+E20</f>
        <v>185396.5</v>
      </c>
      <c r="F26" s="129">
        <f t="shared" si="2"/>
        <v>9.5601764004446754E-2</v>
      </c>
      <c r="G26" s="94"/>
      <c r="H26" s="23" t="s">
        <v>58</v>
      </c>
      <c r="I26" s="67">
        <f>E24/($I$28-I22)</f>
        <v>312.54979177982977</v>
      </c>
      <c r="J26" s="8" t="str">
        <f>IF(I26&lt;1,"Liquidity Problem!","")</f>
        <v/>
      </c>
    </row>
    <row r="27" spans="2:10" ht="15" customHeight="1" x14ac:dyDescent="0.15">
      <c r="B27" s="23" t="s">
        <v>59</v>
      </c>
      <c r="C27" s="84">
        <f>C21+C22</f>
        <v>22411</v>
      </c>
      <c r="D27" s="66">
        <f t="shared" si="3"/>
        <v>0.95000000000000007</v>
      </c>
      <c r="E27" s="95">
        <f>E21+E22</f>
        <v>21290.45</v>
      </c>
      <c r="F27" s="129">
        <f t="shared" si="2"/>
        <v>1.0978656967356306E-2</v>
      </c>
      <c r="G27" s="94"/>
      <c r="H27" s="23" t="s">
        <v>60</v>
      </c>
      <c r="I27" s="67">
        <f>(E25+E24)/$I$28</f>
        <v>2.1575826105365405</v>
      </c>
      <c r="J27" s="8" t="str">
        <f>IF(OR(I27&lt;0.75,C28&lt;I28),"Liquidity Problem!","")</f>
        <v/>
      </c>
    </row>
    <row r="28" spans="2:10" ht="15" customHeight="1" x14ac:dyDescent="0.15">
      <c r="B28" s="85" t="s">
        <v>15</v>
      </c>
      <c r="C28" s="86">
        <f>SUM(C11:C22)</f>
        <v>2422539</v>
      </c>
      <c r="D28" s="61">
        <f t="shared" ref="D28" si="4">E28/C28</f>
        <v>0.80050647275441178</v>
      </c>
      <c r="E28" s="76">
        <f>SUM(E24:E27)</f>
        <v>1939258.15</v>
      </c>
      <c r="F28" s="127"/>
      <c r="G28" s="94"/>
      <c r="H28" s="85" t="s">
        <v>16</v>
      </c>
      <c r="I28" s="72">
        <v>803015</v>
      </c>
      <c r="J28" s="32">
        <f>IF(J26="",1,0)+IF(J27="",1,0)+IF(J46="",1,0)+IF(J47="",1,0)</f>
        <v>4</v>
      </c>
    </row>
    <row r="29" spans="2:10" ht="15" customHeight="1" x14ac:dyDescent="0.15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15">
      <c r="B30" s="3" t="s">
        <v>61</v>
      </c>
      <c r="C30" s="63"/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15">
      <c r="B31" s="3" t="s">
        <v>63</v>
      </c>
      <c r="C31" s="63">
        <v>39731</v>
      </c>
      <c r="D31" s="64">
        <v>0.5</v>
      </c>
      <c r="E31" s="95">
        <f t="shared" ref="E31:E42" si="5">C31*D31</f>
        <v>19865.5</v>
      </c>
      <c r="F31" s="127"/>
      <c r="G31" s="94"/>
      <c r="H31" s="3" t="s">
        <v>64</v>
      </c>
      <c r="I31" s="63">
        <v>2115</v>
      </c>
      <c r="J31" s="94"/>
    </row>
    <row r="32" spans="2:10" ht="15" customHeight="1" x14ac:dyDescent="0.15">
      <c r="B32" s="3" t="s">
        <v>65</v>
      </c>
      <c r="C32" s="63"/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4" x14ac:dyDescent="0.15">
      <c r="B33" s="1" t="s">
        <v>173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4"/>
      <c r="J33" s="94"/>
    </row>
    <row r="34" spans="2:10" ht="14" x14ac:dyDescent="0.15">
      <c r="B34" s="3" t="s">
        <v>68</v>
      </c>
      <c r="C34" s="63"/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2115</v>
      </c>
      <c r="J34" s="94"/>
    </row>
    <row r="35" spans="2:10" ht="14" x14ac:dyDescent="0.15">
      <c r="B35" s="3" t="s">
        <v>70</v>
      </c>
      <c r="C35" s="63">
        <v>85171</v>
      </c>
      <c r="D35" s="64">
        <v>0.1</v>
      </c>
      <c r="E35" s="95">
        <f t="shared" si="5"/>
        <v>8517.1</v>
      </c>
      <c r="F35" s="128" t="s">
        <v>71</v>
      </c>
      <c r="G35" s="30">
        <f>IF(F35="Y",0,1)</f>
        <v>1</v>
      </c>
      <c r="J35" s="94"/>
    </row>
    <row r="36" spans="2:10" ht="14" x14ac:dyDescent="0.15">
      <c r="B36" s="3" t="s">
        <v>72</v>
      </c>
      <c r="C36" s="63"/>
      <c r="D36" s="64">
        <v>0.2</v>
      </c>
      <c r="E36" s="95">
        <f t="shared" si="5"/>
        <v>0</v>
      </c>
      <c r="F36" s="128" t="s">
        <v>71</v>
      </c>
      <c r="G36" s="30">
        <f>IF(F36="Y",0,1)</f>
        <v>1</v>
      </c>
      <c r="H36" s="94"/>
      <c r="I36" s="94"/>
    </row>
    <row r="37" spans="2:10" ht="14" x14ac:dyDescent="0.15">
      <c r="B37" s="1" t="s">
        <v>49</v>
      </c>
      <c r="C37" s="63"/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15">
      <c r="B38" s="3" t="s">
        <v>123</v>
      </c>
      <c r="C38" s="63">
        <v>1863998</v>
      </c>
      <c r="D38" s="64">
        <v>0.1</v>
      </c>
      <c r="E38" s="95">
        <f>C38*D38</f>
        <v>186399.80000000002</v>
      </c>
      <c r="F38" s="127"/>
      <c r="G38" s="94"/>
      <c r="H38" s="94"/>
      <c r="I38" s="94"/>
    </row>
    <row r="39" spans="2:10" ht="14" x14ac:dyDescent="0.15">
      <c r="B39" s="3" t="s">
        <v>73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15">
      <c r="B40" s="3" t="s">
        <v>74</v>
      </c>
      <c r="C40" s="63">
        <v>23958</v>
      </c>
      <c r="D40" s="64">
        <v>0.05</v>
      </c>
      <c r="E40" s="95">
        <f t="shared" si="5"/>
        <v>1197.9000000000001</v>
      </c>
      <c r="F40" s="127"/>
      <c r="G40" s="94"/>
      <c r="H40" s="94"/>
      <c r="I40" s="94"/>
    </row>
    <row r="41" spans="2:10" ht="15" customHeight="1" x14ac:dyDescent="0.15">
      <c r="B41" s="3" t="s">
        <v>75</v>
      </c>
      <c r="C41" s="63">
        <v>71331</v>
      </c>
      <c r="D41" s="64">
        <v>0.95</v>
      </c>
      <c r="E41" s="95">
        <f t="shared" si="5"/>
        <v>67764.45</v>
      </c>
      <c r="F41" s="127"/>
      <c r="G41" s="94"/>
      <c r="H41" s="94"/>
      <c r="I41" s="94"/>
    </row>
    <row r="42" spans="2:10" ht="15" customHeight="1" x14ac:dyDescent="0.15">
      <c r="B42" s="3" t="s">
        <v>76</v>
      </c>
      <c r="C42" s="63">
        <v>62618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98092</v>
      </c>
    </row>
    <row r="43" spans="2:10" ht="15" customHeight="1" x14ac:dyDescent="0.15">
      <c r="C43" s="94"/>
      <c r="D43" s="94"/>
      <c r="E43" s="94"/>
      <c r="F43" s="94"/>
      <c r="G43" s="94"/>
      <c r="H43" s="94"/>
      <c r="I43" s="94"/>
    </row>
    <row r="44" spans="2:10" ht="15" customHeight="1" x14ac:dyDescent="0.15">
      <c r="B44" s="23" t="s">
        <v>77</v>
      </c>
      <c r="C44" s="65">
        <f>SUM(C30:C31)</f>
        <v>39731</v>
      </c>
      <c r="D44" s="66">
        <f>IF(E44=0,0,E44/C44)</f>
        <v>0.5</v>
      </c>
      <c r="E44" s="95">
        <f>SUM(E30:E31)</f>
        <v>19865.5</v>
      </c>
      <c r="F44" s="78"/>
      <c r="G44" s="94"/>
    </row>
    <row r="45" spans="2:10" ht="15" customHeight="1" x14ac:dyDescent="0.15">
      <c r="B45" s="23" t="s">
        <v>79</v>
      </c>
      <c r="C45" s="65">
        <f>SUM(C32:C35)</f>
        <v>85171</v>
      </c>
      <c r="D45" s="66">
        <f>IF(E45=0,0,E45/C45)</f>
        <v>0.1</v>
      </c>
      <c r="E45" s="95">
        <f>SUM(E32:E35)</f>
        <v>8517.1</v>
      </c>
      <c r="F45" s="78"/>
      <c r="G45" s="94"/>
    </row>
    <row r="46" spans="2:10" ht="15" customHeight="1" x14ac:dyDescent="0.15">
      <c r="B46" s="23" t="s">
        <v>80</v>
      </c>
      <c r="C46" s="65">
        <f>C36+C37+C38+C39</f>
        <v>1863998</v>
      </c>
      <c r="D46" s="66">
        <f t="shared" ref="D46:D47" si="6">IF(E46=0,0,E46/C46)</f>
        <v>0.1</v>
      </c>
      <c r="E46" s="95">
        <f>E36+E37+E38+E39</f>
        <v>186399.80000000002</v>
      </c>
      <c r="F46" s="94"/>
      <c r="G46" s="94"/>
      <c r="H46" s="23" t="s">
        <v>81</v>
      </c>
      <c r="I46" s="67">
        <f>(E44+E24)/E64</f>
        <v>228.60408483896308</v>
      </c>
      <c r="J46" s="8" t="str">
        <f>IF(I46&lt;1,"Liquidity Problem!","")</f>
        <v/>
      </c>
    </row>
    <row r="47" spans="2:10" ht="15" customHeight="1" x14ac:dyDescent="0.15">
      <c r="B47" s="23" t="s">
        <v>82</v>
      </c>
      <c r="C47" s="65">
        <f>C40+C41+C42</f>
        <v>157907</v>
      </c>
      <c r="D47" s="66">
        <f t="shared" si="6"/>
        <v>0.4367276308206729</v>
      </c>
      <c r="E47" s="95">
        <f>E40+E41+E42</f>
        <v>68962.349999999991</v>
      </c>
      <c r="F47" s="94"/>
      <c r="G47" s="94"/>
      <c r="H47" s="23" t="s">
        <v>83</v>
      </c>
      <c r="I47" s="67">
        <f>(E44+E45+E24+E25)/$I$49</f>
        <v>1.9496356377501878</v>
      </c>
      <c r="J47" s="8" t="str">
        <f>IF(OR(I47&lt;0.5,C49&lt;I49),"Liquidity Problem!","")</f>
        <v/>
      </c>
    </row>
    <row r="48" spans="2:10" ht="15" customHeight="1" thickBot="1" x14ac:dyDescent="0.2">
      <c r="B48" s="87" t="s">
        <v>84</v>
      </c>
      <c r="C48" s="88">
        <f>SUM(C30:C42)</f>
        <v>2146807</v>
      </c>
      <c r="D48" s="89">
        <f>E48/C48</f>
        <v>0.13217059102192233</v>
      </c>
      <c r="E48" s="83">
        <f>SUM(E30:E42)</f>
        <v>283744.75</v>
      </c>
      <c r="F48" s="94"/>
      <c r="G48" s="94"/>
      <c r="H48" s="87" t="s">
        <v>85</v>
      </c>
      <c r="I48" s="90">
        <v>100207</v>
      </c>
      <c r="J48" s="8"/>
    </row>
    <row r="49" spans="2:10" ht="15" customHeight="1" thickTop="1" x14ac:dyDescent="0.15">
      <c r="B49" s="3" t="s">
        <v>14</v>
      </c>
      <c r="C49" s="65">
        <f>C28+C48</f>
        <v>4569346</v>
      </c>
      <c r="D49" s="56">
        <f>E49/C49</f>
        <v>0.48650351713352413</v>
      </c>
      <c r="E49" s="95">
        <f>E28+E48</f>
        <v>2223002.9</v>
      </c>
      <c r="F49" s="94"/>
      <c r="G49" s="94"/>
      <c r="H49" s="3" t="s">
        <v>86</v>
      </c>
      <c r="I49" s="52">
        <f>I28+I48</f>
        <v>903222</v>
      </c>
      <c r="J49" s="94"/>
    </row>
    <row r="50" spans="2:10" ht="15" customHeight="1" x14ac:dyDescent="0.15">
      <c r="C50" s="94"/>
      <c r="D50" s="94"/>
      <c r="E50" s="94"/>
      <c r="I50" s="94"/>
    </row>
    <row r="51" spans="2:10" ht="14" x14ac:dyDescent="0.15">
      <c r="B51" s="10" t="s">
        <v>87</v>
      </c>
      <c r="C51" s="31"/>
      <c r="D51" s="18"/>
    </row>
    <row r="52" spans="2:10" ht="14" x14ac:dyDescent="0.15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4" x14ac:dyDescent="0.15">
      <c r="B53" s="3" t="s">
        <v>89</v>
      </c>
      <c r="C53" s="95">
        <f>D4</f>
        <v>45613</v>
      </c>
      <c r="D53" s="29">
        <f>IF(E53=0, 0,E53/C53)</f>
        <v>1.2981647890468229</v>
      </c>
      <c r="E53" s="95">
        <f>MAX(C53,C53*Dashboard!G23)</f>
        <v>59213.190522792735</v>
      </c>
      <c r="F53" s="94"/>
      <c r="G53" s="94"/>
      <c r="H53" s="94"/>
      <c r="I53" s="41"/>
    </row>
    <row r="54" spans="2:10" ht="15" customHeight="1" x14ac:dyDescent="0.15">
      <c r="C54" s="94"/>
      <c r="D54" s="94"/>
      <c r="E54" s="94"/>
      <c r="F54" s="94"/>
      <c r="G54" s="94"/>
      <c r="H54" s="94"/>
      <c r="I54" s="94"/>
    </row>
    <row r="55" spans="2:10" ht="14" x14ac:dyDescent="0.15">
      <c r="B55" s="25" t="s">
        <v>163</v>
      </c>
      <c r="C55" s="3"/>
      <c r="E55" s="158"/>
      <c r="F55" s="3"/>
      <c r="G55" s="3"/>
      <c r="H55" s="94"/>
      <c r="I55" s="94"/>
    </row>
    <row r="56" spans="2:10" ht="14" x14ac:dyDescent="0.15">
      <c r="B56" s="20" t="s">
        <v>90</v>
      </c>
      <c r="C56" s="94"/>
      <c r="D56" s="209">
        <f>I15+I34</f>
        <v>7638</v>
      </c>
      <c r="E56" s="210"/>
      <c r="F56" s="3"/>
      <c r="G56" s="3"/>
      <c r="H56" s="94"/>
      <c r="I56" s="56"/>
    </row>
    <row r="57" spans="2:10" ht="14" x14ac:dyDescent="0.15">
      <c r="B57" s="20" t="s">
        <v>91</v>
      </c>
      <c r="C57" s="94"/>
      <c r="D57" s="208">
        <v>0</v>
      </c>
      <c r="E57" s="207"/>
      <c r="G57" s="94"/>
      <c r="H57" s="94" t="s">
        <v>92</v>
      </c>
      <c r="I57" s="94"/>
    </row>
    <row r="58" spans="2:10" ht="12.75" customHeight="1" x14ac:dyDescent="0.15">
      <c r="B58" s="20" t="s">
        <v>93</v>
      </c>
      <c r="C58" s="94"/>
      <c r="D58" s="208">
        <v>0</v>
      </c>
      <c r="E58" s="207"/>
      <c r="F58" s="3"/>
      <c r="G58" s="3"/>
      <c r="H58" s="94"/>
      <c r="I58" s="94"/>
    </row>
    <row r="59" spans="2:10" ht="15" customHeight="1" x14ac:dyDescent="0.15">
      <c r="C59" s="94"/>
      <c r="D59" s="94"/>
      <c r="E59" s="94"/>
      <c r="F59" s="94"/>
      <c r="G59" s="94"/>
      <c r="H59" s="94"/>
      <c r="I59" s="94"/>
    </row>
    <row r="60" spans="2:10" ht="14" x14ac:dyDescent="0.15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15">
      <c r="B61" s="19" t="s">
        <v>95</v>
      </c>
      <c r="C61" s="74">
        <f>C14+C15+(C19*G19)+(C20*G20)+C31+C32+(C35*G35)+(C36*G36)+(C37*G37)</f>
        <v>346519</v>
      </c>
      <c r="D61" s="56">
        <f t="shared" ref="D61:D70" si="7">IF(E61=0,0,E61/C61)</f>
        <v>0.27377344388042213</v>
      </c>
      <c r="E61" s="52">
        <f>E14+E15+(E19*G19)+(E20*G20)+E31+E32+(E35*G35)+(E36*G36)+(E37*G37)</f>
        <v>94867.7</v>
      </c>
      <c r="F61" s="94"/>
      <c r="G61" s="94"/>
      <c r="H61" s="94"/>
      <c r="I61" s="94"/>
    </row>
    <row r="62" spans="2:10" ht="14" x14ac:dyDescent="0.15">
      <c r="B62" s="35" t="s">
        <v>152</v>
      </c>
      <c r="C62" s="141">
        <f>C11+C30</f>
        <v>1322113</v>
      </c>
      <c r="D62" s="122">
        <f t="shared" si="7"/>
        <v>1</v>
      </c>
      <c r="E62" s="142">
        <f>E11+E30</f>
        <v>1322113</v>
      </c>
      <c r="F62" s="94"/>
      <c r="G62" s="94"/>
      <c r="H62" s="94"/>
      <c r="I62" s="94"/>
    </row>
    <row r="63" spans="2:10" ht="14" x14ac:dyDescent="0.15">
      <c r="B63" s="19" t="s">
        <v>154</v>
      </c>
      <c r="C63" s="74">
        <f>C61+C62</f>
        <v>1668632</v>
      </c>
      <c r="D63" s="29">
        <f t="shared" si="7"/>
        <v>0.84918705862047472</v>
      </c>
      <c r="E63" s="65">
        <f>E61+E62</f>
        <v>1416980.7</v>
      </c>
      <c r="F63" s="94"/>
      <c r="G63" s="94"/>
      <c r="H63" s="94"/>
      <c r="I63" s="94"/>
    </row>
    <row r="64" spans="2:10" thickBot="1" x14ac:dyDescent="0.2">
      <c r="B64" s="145" t="s">
        <v>164</v>
      </c>
      <c r="C64" s="146"/>
      <c r="D64" s="147"/>
      <c r="E64" s="75">
        <f>D56+D57+D58</f>
        <v>7638</v>
      </c>
      <c r="F64" s="94"/>
      <c r="G64" s="94"/>
      <c r="H64" s="94"/>
      <c r="I64" s="94"/>
    </row>
    <row r="65" spans="1:9" thickTop="1" x14ac:dyDescent="0.15">
      <c r="B65" s="3" t="s">
        <v>155</v>
      </c>
      <c r="C65" s="74">
        <f>C63-E64</f>
        <v>1660994</v>
      </c>
      <c r="D65" s="29">
        <f t="shared" si="7"/>
        <v>0.84849355265581927</v>
      </c>
      <c r="E65" s="65">
        <f>E63-E64</f>
        <v>1409342.7</v>
      </c>
      <c r="F65" s="94"/>
      <c r="G65" s="94"/>
      <c r="H65" s="94"/>
      <c r="I65" s="94"/>
    </row>
    <row r="66" spans="1:9" ht="14" x14ac:dyDescent="0.15">
      <c r="B66" s="3"/>
      <c r="C66" s="74"/>
      <c r="D66" s="29"/>
      <c r="E66" s="65"/>
      <c r="F66" s="94"/>
      <c r="G66" s="94"/>
      <c r="H66" s="94"/>
      <c r="I66" s="94"/>
    </row>
    <row r="67" spans="1:9" ht="14" x14ac:dyDescent="0.15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4" x14ac:dyDescent="0.15">
      <c r="B68" s="19" t="s">
        <v>153</v>
      </c>
      <c r="C68" s="74">
        <f>C49-C63</f>
        <v>2900714</v>
      </c>
      <c r="D68" s="29">
        <f t="shared" si="7"/>
        <v>0.27787027607685555</v>
      </c>
      <c r="E68" s="74">
        <f>E49-E63</f>
        <v>806022.2</v>
      </c>
      <c r="F68" s="94"/>
      <c r="G68" s="94"/>
      <c r="H68" s="94"/>
      <c r="I68" s="94"/>
    </row>
    <row r="69" spans="1:9" thickBot="1" x14ac:dyDescent="0.2">
      <c r="B69" s="145" t="s">
        <v>165</v>
      </c>
      <c r="C69" s="146"/>
      <c r="D69" s="147"/>
      <c r="E69" s="159">
        <f>I49-E64</f>
        <v>895584</v>
      </c>
      <c r="F69" s="94"/>
      <c r="G69" s="94"/>
      <c r="H69" s="94"/>
      <c r="I69" s="94"/>
    </row>
    <row r="70" spans="1:9" thickTop="1" x14ac:dyDescent="0.15">
      <c r="B70" s="19" t="s">
        <v>156</v>
      </c>
      <c r="C70" s="74">
        <f>C68-E69</f>
        <v>2005130</v>
      </c>
      <c r="D70" s="29">
        <f t="shared" si="7"/>
        <v>-4.4666330861340683E-2</v>
      </c>
      <c r="E70" s="74">
        <f>E68-E69</f>
        <v>-89561.800000000047</v>
      </c>
      <c r="F70" s="94"/>
      <c r="G70" s="94"/>
      <c r="H70" s="94"/>
      <c r="I70" s="94"/>
    </row>
    <row r="72" spans="1:9" ht="15" customHeight="1" x14ac:dyDescent="0.15">
      <c r="A72" s="5"/>
      <c r="B72" s="120" t="s">
        <v>137</v>
      </c>
      <c r="C72" s="214">
        <f>Data!C5</f>
        <v>45291</v>
      </c>
      <c r="D72" s="214"/>
      <c r="H72" s="50" t="s">
        <v>8</v>
      </c>
    </row>
    <row r="73" spans="1:9" ht="15" customHeight="1" x14ac:dyDescent="0.15">
      <c r="B73" s="12" t="str">
        <f>"(Numbers in "&amp;Data!E3&amp;Dashboard!G6&amp;")"</f>
        <v>(Numbers in 1000HKD)</v>
      </c>
      <c r="C73" s="213" t="s">
        <v>103</v>
      </c>
      <c r="D73" s="213"/>
      <c r="E73" s="215" t="s">
        <v>104</v>
      </c>
      <c r="F73" s="213"/>
    </row>
    <row r="74" spans="1:9" ht="15" customHeight="1" x14ac:dyDescent="0.15">
      <c r="B74" s="3" t="s">
        <v>136</v>
      </c>
      <c r="C74" s="95">
        <f>Data!C6</f>
        <v>3833194</v>
      </c>
      <c r="D74" s="130"/>
      <c r="E74" s="148">
        <f>C74</f>
        <v>3833194</v>
      </c>
      <c r="F74" s="130"/>
    </row>
    <row r="75" spans="1:9" ht="15" customHeight="1" x14ac:dyDescent="0.15">
      <c r="B75" s="117" t="s">
        <v>109</v>
      </c>
      <c r="C75" s="95">
        <f>Data!C8</f>
        <v>2530133</v>
      </c>
      <c r="D75" s="131">
        <f>C75/$C$74</f>
        <v>0.66005868735054896</v>
      </c>
      <c r="E75" s="148">
        <f>D75*E74</f>
        <v>2530133</v>
      </c>
      <c r="F75" s="149">
        <f>E75/$E$74</f>
        <v>0.66005868735054896</v>
      </c>
    </row>
    <row r="76" spans="1:9" ht="15" customHeight="1" x14ac:dyDescent="0.15">
      <c r="B76" s="35" t="s">
        <v>96</v>
      </c>
      <c r="C76" s="118">
        <f>C74-C75</f>
        <v>1303061</v>
      </c>
      <c r="D76" s="132"/>
      <c r="E76" s="150">
        <f>E74-E75</f>
        <v>1303061</v>
      </c>
      <c r="F76" s="132"/>
    </row>
    <row r="77" spans="1:9" ht="15" customHeight="1" x14ac:dyDescent="0.15">
      <c r="B77" s="117" t="s">
        <v>133</v>
      </c>
      <c r="C77" s="95">
        <f>Data!C10-Data!C12</f>
        <v>782094</v>
      </c>
      <c r="D77" s="131">
        <f>C77/$C$74</f>
        <v>0.20403193785652382</v>
      </c>
      <c r="E77" s="148">
        <f>D77*E74</f>
        <v>782094</v>
      </c>
      <c r="F77" s="149">
        <f>E77/$E$74</f>
        <v>0.20403193785652382</v>
      </c>
    </row>
    <row r="78" spans="1:9" ht="15" customHeight="1" x14ac:dyDescent="0.15">
      <c r="B78" s="35" t="s">
        <v>97</v>
      </c>
      <c r="C78" s="118">
        <f>C76-C77</f>
        <v>520967</v>
      </c>
      <c r="D78" s="132"/>
      <c r="E78" s="150">
        <f>E76-E77</f>
        <v>520967</v>
      </c>
      <c r="F78" s="132"/>
    </row>
    <row r="79" spans="1:9" ht="15" customHeight="1" x14ac:dyDescent="0.15">
      <c r="B79" s="117" t="s">
        <v>129</v>
      </c>
      <c r="C79" s="95">
        <f>Data!C17</f>
        <v>270</v>
      </c>
      <c r="D79" s="131">
        <f>C79/$C$74</f>
        <v>7.0437342852983705E-5</v>
      </c>
      <c r="E79" s="148">
        <f>C79</f>
        <v>270</v>
      </c>
      <c r="F79" s="149">
        <f>E79/$E$74</f>
        <v>7.0437342852983705E-5</v>
      </c>
    </row>
    <row r="80" spans="1:9" ht="15" customHeight="1" x14ac:dyDescent="0.15">
      <c r="B80" s="28" t="s">
        <v>135</v>
      </c>
      <c r="C80" s="95">
        <f>Data!C14+MAX(Data!C15,0)</f>
        <v>329600</v>
      </c>
      <c r="D80" s="131">
        <f>C80/$C$74</f>
        <v>8.5985734090160845E-2</v>
      </c>
      <c r="E80" s="148">
        <f>2%*E74</f>
        <v>76663.88</v>
      </c>
      <c r="F80" s="149">
        <f t="shared" ref="F80:F83" si="8">E80/$E$74</f>
        <v>0.02</v>
      </c>
    </row>
    <row r="81" spans="1:8" ht="15" customHeight="1" x14ac:dyDescent="0.15">
      <c r="B81" s="28" t="s">
        <v>113</v>
      </c>
      <c r="C81" s="95">
        <f>MAX(Data!C16,0)</f>
        <v>0</v>
      </c>
      <c r="D81" s="131">
        <f>C81/$C$74</f>
        <v>0</v>
      </c>
      <c r="E81" s="148">
        <f>C81</f>
        <v>0</v>
      </c>
      <c r="F81" s="149">
        <f t="shared" si="8"/>
        <v>0</v>
      </c>
      <c r="H81" s="125" t="s">
        <v>141</v>
      </c>
    </row>
    <row r="82" spans="1:8" ht="15" customHeight="1" x14ac:dyDescent="0.15">
      <c r="B82" s="79" t="s">
        <v>190</v>
      </c>
      <c r="C82" s="95">
        <f>MAX(Data!C18,0)</f>
        <v>2980</v>
      </c>
      <c r="D82" s="131">
        <f>C82/$C$74</f>
        <v>7.7741956185885708E-4</v>
      </c>
      <c r="E82" s="148">
        <f>E74*0.08%</f>
        <v>3066.5552000000002</v>
      </c>
      <c r="F82" s="149">
        <f t="shared" si="8"/>
        <v>8.0000000000000004E-4</v>
      </c>
    </row>
    <row r="83" spans="1:8" ht="15" customHeight="1" thickBot="1" x14ac:dyDescent="0.2">
      <c r="B83" s="119" t="s">
        <v>134</v>
      </c>
      <c r="C83" s="100">
        <f>C78-C79-C80-C81-C82</f>
        <v>188117</v>
      </c>
      <c r="D83" s="133">
        <f>C83/$C$74</f>
        <v>4.9075783798054572E-2</v>
      </c>
      <c r="E83" s="151">
        <f>E78-E79-E80-E81-E82</f>
        <v>440966.56479999999</v>
      </c>
      <c r="F83" s="135">
        <f t="shared" si="8"/>
        <v>0.11503893745007428</v>
      </c>
    </row>
    <row r="84" spans="1:8" ht="15" customHeight="1" thickTop="1" x14ac:dyDescent="0.15">
      <c r="B84" s="28" t="s">
        <v>98</v>
      </c>
      <c r="C84" s="121"/>
      <c r="D84" s="134"/>
      <c r="E84" s="152"/>
      <c r="F84" s="136">
        <v>0.22</v>
      </c>
    </row>
    <row r="85" spans="1:8" ht="15" customHeight="1" x14ac:dyDescent="0.15">
      <c r="B85" s="93" t="s">
        <v>179</v>
      </c>
      <c r="C85" s="118">
        <f>C83*(1-F84)</f>
        <v>146731.26</v>
      </c>
      <c r="D85" s="135">
        <f>C85/$C$74</f>
        <v>3.8279111362482569E-2</v>
      </c>
      <c r="E85" s="153">
        <f>E83*(1-F84)</f>
        <v>343953.92054399999</v>
      </c>
      <c r="F85" s="135">
        <f>E85/$E$74</f>
        <v>8.9730371211057924E-2</v>
      </c>
    </row>
    <row r="86" spans="1:8" ht="15" customHeight="1" x14ac:dyDescent="0.15">
      <c r="B86" s="94" t="s">
        <v>174</v>
      </c>
      <c r="C86" s="160">
        <f>C85*Data!E3/Common_Shares</f>
        <v>0.14058873030179378</v>
      </c>
      <c r="D86" s="130"/>
      <c r="E86" s="162">
        <f>E85*Data!E3/Common_Shares</f>
        <v>0.32955516753284214</v>
      </c>
      <c r="F86" s="130"/>
    </row>
    <row r="87" spans="1:8" ht="15" customHeight="1" x14ac:dyDescent="0.15">
      <c r="B87" s="93" t="s">
        <v>175</v>
      </c>
      <c r="C87" s="163">
        <v>0.15820000000000001</v>
      </c>
      <c r="D87" s="135">
        <f>C87/C86</f>
        <v>1.1252680044865697</v>
      </c>
      <c r="E87" s="161">
        <f>C87</f>
        <v>0.15820000000000001</v>
      </c>
      <c r="F87" s="135">
        <f>E87/E86</f>
        <v>0.480041023736138</v>
      </c>
    </row>
    <row r="88" spans="1:8" ht="15" customHeight="1" x14ac:dyDescent="0.15">
      <c r="B88" s="28"/>
      <c r="C88" s="95"/>
    </row>
    <row r="89" spans="1:8" ht="15" customHeight="1" x14ac:dyDescent="0.15">
      <c r="A89" s="5"/>
      <c r="B89" s="120" t="s">
        <v>168</v>
      </c>
      <c r="C89" s="21"/>
      <c r="H89" s="50" t="s">
        <v>145</v>
      </c>
    </row>
    <row r="90" spans="1:8" ht="15" customHeight="1" x14ac:dyDescent="0.15">
      <c r="B90" s="10" t="s">
        <v>169</v>
      </c>
      <c r="D90" s="211" t="s">
        <v>170</v>
      </c>
      <c r="E90" s="211"/>
      <c r="G90" s="94"/>
    </row>
    <row r="91" spans="1:8" ht="15" customHeight="1" x14ac:dyDescent="0.15">
      <c r="B91" s="1" t="s">
        <v>192</v>
      </c>
      <c r="C91" s="173" t="s">
        <v>210</v>
      </c>
      <c r="D91" s="212" t="s">
        <v>222</v>
      </c>
      <c r="E91" s="212"/>
      <c r="F91" s="29">
        <f>E86*Exchange_Rate/Dashboard!G3</f>
        <v>7.2270870979871615E-2</v>
      </c>
      <c r="H91" s="186"/>
    </row>
    <row r="92" spans="1:8" ht="15" customHeight="1" x14ac:dyDescent="0.15">
      <c r="B92" s="1" t="str">
        <f>IF(C91="CN",Dashboard!B17,Dashboard!B12)</f>
        <v>Required Return (US)</v>
      </c>
      <c r="C92" s="175">
        <f>IF(C91="CN",Dashboard!C17,IF(C91="US",Dashboard!C12,IF(C91="HK",Dashboard!D12,Dashboard!D17)))</f>
        <v>8.4000000000000005E-2</v>
      </c>
      <c r="D92" s="196">
        <v>5</v>
      </c>
      <c r="E92" s="94" t="s">
        <v>223</v>
      </c>
      <c r="F92" s="197">
        <f>FV(F91,D92,0,-(E86/C92))</f>
        <v>5.5612367107751872</v>
      </c>
      <c r="H92" s="186"/>
    </row>
    <row r="94" spans="1:8" ht="15" customHeight="1" x14ac:dyDescent="0.15">
      <c r="A94" s="5"/>
      <c r="B94" s="120" t="str">
        <f xml:space="preserve"> "Valuation in "&amp;Dashboard!H3</f>
        <v>Valuation in HKD</v>
      </c>
      <c r="C94" s="164" t="str">
        <f>Dashboard!H3</f>
        <v>HKD</v>
      </c>
      <c r="D94" s="198" t="s">
        <v>225</v>
      </c>
      <c r="E94" s="156" t="s">
        <v>224</v>
      </c>
    </row>
    <row r="95" spans="1:8" ht="15" customHeight="1" x14ac:dyDescent="0.15">
      <c r="B95" s="1" t="s">
        <v>140</v>
      </c>
      <c r="C95" s="102">
        <f>D95*Common_Shares/Data!E3</f>
        <v>3877904.4866631427</v>
      </c>
      <c r="D95" s="154">
        <f>PV(C92,D92,0,-F92)*Exchange_Rate</f>
        <v>3.7155659128913676</v>
      </c>
      <c r="E95" s="154">
        <f>PV(15%,D92,0,-F92)*Exchange_Rate</f>
        <v>2.7649175120842076</v>
      </c>
    </row>
    <row r="96" spans="1:8" ht="15" customHeight="1" x14ac:dyDescent="0.15">
      <c r="B96" s="28" t="s">
        <v>157</v>
      </c>
      <c r="C96" s="102">
        <f>E82*Exchange_Rate</f>
        <v>3066.5552000000002</v>
      </c>
      <c r="D96" s="154">
        <f>C96*Data!$E$3/Common_Shares</f>
        <v>2.9381816933103642E-3</v>
      </c>
      <c r="E96" s="130"/>
      <c r="F96" s="137"/>
    </row>
    <row r="97" spans="2:6" ht="15" customHeight="1" thickBot="1" x14ac:dyDescent="0.2">
      <c r="B97" s="119" t="s">
        <v>158</v>
      </c>
      <c r="C97" s="123">
        <f>(E65+MIN(0,E70))*Exchange_Rate</f>
        <v>1319780.8999999999</v>
      </c>
      <c r="D97" s="155">
        <f>C97*Data!$E$3/Common_Shares</f>
        <v>1.2645316410937837</v>
      </c>
      <c r="E97" s="199"/>
      <c r="F97" s="157" t="s">
        <v>144</v>
      </c>
    </row>
    <row r="98" spans="2:6" ht="15" customHeight="1" thickTop="1" x14ac:dyDescent="0.15">
      <c r="B98" s="1" t="s">
        <v>119</v>
      </c>
      <c r="C98" s="102">
        <f>C95-C96+$C$97</f>
        <v>5194618.8314631432</v>
      </c>
      <c r="D98" s="124">
        <f>MAX(C98*Data!$E$3/Common_Shares,0)</f>
        <v>4.9771593722918421</v>
      </c>
      <c r="E98" s="124">
        <f>D98*(1-25%)</f>
        <v>3.7328695292188816</v>
      </c>
      <c r="F98" s="124">
        <f>D98*1.25</f>
        <v>6.2214492153648031</v>
      </c>
    </row>
    <row r="100" spans="2:6" ht="15" customHeight="1" x14ac:dyDescent="0.15">
      <c r="B100" s="10" t="s">
        <v>177</v>
      </c>
      <c r="C100" s="164" t="str">
        <f>C94</f>
        <v>HKD</v>
      </c>
      <c r="D100" s="198"/>
      <c r="E100" s="156" t="s">
        <v>143</v>
      </c>
      <c r="F100" s="157" t="s">
        <v>144</v>
      </c>
    </row>
    <row r="101" spans="2:6" ht="15" customHeight="1" x14ac:dyDescent="0.15">
      <c r="B101" s="1" t="s">
        <v>176</v>
      </c>
      <c r="C101" s="102">
        <f>D101*Common_Shares/Data!E3</f>
        <v>2579874.8771250006</v>
      </c>
      <c r="D101" s="154">
        <f>E87/(C92-2%)*Exchange_Rate</f>
        <v>2.4718750000000003</v>
      </c>
      <c r="E101" s="124">
        <f>D101*(1-25%)</f>
        <v>1.8539062500000001</v>
      </c>
      <c r="F101" s="124">
        <f>D101*1.25</f>
        <v>3.0898437500000004</v>
      </c>
    </row>
    <row r="103" spans="2:6" ht="15" customHeight="1" x14ac:dyDescent="0.15">
      <c r="B103" s="10" t="s">
        <v>226</v>
      </c>
      <c r="C103" s="164" t="str">
        <f>C100</f>
        <v>HKD</v>
      </c>
      <c r="D103" s="198"/>
      <c r="E103" s="156" t="s">
        <v>143</v>
      </c>
      <c r="F103" s="157" t="s">
        <v>144</v>
      </c>
    </row>
    <row r="104" spans="2:6" ht="15" customHeight="1" x14ac:dyDescent="0.15">
      <c r="B104" s="1" t="s">
        <v>227</v>
      </c>
      <c r="C104" s="102">
        <f>D104*Common_Shares/Data!E3</f>
        <v>3887246.8542940724</v>
      </c>
      <c r="D104" s="154">
        <f>(D98+D101)/2</f>
        <v>3.7245171861459214</v>
      </c>
      <c r="E104" s="124">
        <f>D104*(1-25%)</f>
        <v>2.7933878896094413</v>
      </c>
      <c r="F104" s="124">
        <f>D104*1.25</f>
        <v>4.6556464826824016</v>
      </c>
    </row>
    <row r="106" spans="2:6" ht="15" customHeight="1" x14ac:dyDescent="0.15">
      <c r="B106" s="10" t="s">
        <v>180</v>
      </c>
      <c r="C106" s="165" t="s">
        <v>228</v>
      </c>
    </row>
  </sheetData>
  <mergeCells count="8">
    <mergeCell ref="D56:E56"/>
    <mergeCell ref="D57:E57"/>
    <mergeCell ref="D58:E58"/>
    <mergeCell ref="D90:E90"/>
    <mergeCell ref="D91:E91"/>
    <mergeCell ref="C73:D73"/>
    <mergeCell ref="C72:D72"/>
    <mergeCell ref="E73:F73"/>
  </mergeCells>
  <phoneticPr fontId="20" type="noConversion"/>
  <conditionalFormatting sqref="C86:C87">
    <cfRule type="containsBlanks" dxfId="4" priority="6">
      <formula>LEN(TRIM(C86))=0</formula>
    </cfRule>
  </conditionalFormatting>
  <conditionalFormatting sqref="C106">
    <cfRule type="containsBlanks" dxfId="3" priority="1">
      <formula>LEN(TRIM(C106))=0</formula>
    </cfRule>
  </conditionalFormatting>
  <conditionalFormatting sqref="E74:E82 F84">
    <cfRule type="containsBlanks" dxfId="2" priority="10">
      <formula>LEN(TRIM(E74))=0</formula>
    </cfRule>
  </conditionalFormatting>
  <conditionalFormatting sqref="E87">
    <cfRule type="containsBlanks" dxfId="1" priority="5">
      <formula>LEN(TRIM(E87))=0</formula>
    </cfRule>
  </conditionalFormatting>
  <conditionalFormatting sqref="F92">
    <cfRule type="containsBlanks" dxfId="0" priority="8">
      <formula>LEN(TRIM(F92))=0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2024-11-08T16:27:48Z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3FC40DF5-3239-42A2-943D-BC6460C6F34F</vt:lpwstr>
  </property>
</Properties>
</file>