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779B18B9-1EDB-B948-81BD-EFC316AB50A3}" xr6:coauthVersionLast="47" xr6:coauthVersionMax="47" xr10:uidLastSave="{00000000-0000-0000-0000-000000000000}"/>
  <bookViews>
    <workbookView xWindow="2200" yWindow="2200" windowWidth="12700" windowHeight="764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94" i="3" l="1"/>
  <c r="E87" i="3" l="1"/>
  <c r="C92" i="3" l="1"/>
  <c r="B92" i="3"/>
  <c r="G21" i="1" l="1"/>
  <c r="D101" i="3" l="1"/>
  <c r="G26" i="1"/>
  <c r="D45" i="2"/>
  <c r="C82" i="3"/>
  <c r="E82" i="3" s="1"/>
  <c r="E42" i="2"/>
  <c r="D94" i="3"/>
  <c r="D100" i="3" s="1"/>
  <c r="D103" i="3" s="1"/>
  <c r="C81" i="3"/>
  <c r="C80" i="3"/>
  <c r="E80" i="3" s="1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D53" i="3"/>
  <c r="D6" i="3"/>
  <c r="D7" i="3" s="1"/>
  <c r="D52" i="3"/>
  <c r="D104" i="3" l="1"/>
  <c r="F29" i="1"/>
  <c r="E6" i="3"/>
  <c r="C104" i="3" l="1"/>
  <c r="F104" i="3"/>
  <c r="E104" i="3"/>
  <c r="F98" i="3"/>
  <c r="D29" i="1" s="1"/>
  <c r="E98" i="3"/>
  <c r="C29" i="1" s="1"/>
</calcChain>
</file>

<file path=xl/sharedStrings.xml><?xml version="1.0" encoding="utf-8"?>
<sst xmlns="http://schemas.openxmlformats.org/spreadsheetml/2006/main" count="254" uniqueCount="232">
  <si>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</si>
  <si>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</si>
  <si>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</si>
  <si>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</si>
  <si>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</si>
  <si>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</si>
  <si>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</si>
  <si>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</si>
  <si>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</si>
  <si>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</si>
  <si>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</si>
  <si>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</si>
  <si>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</si>
  <si>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</si>
  <si>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</si>
  <si>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</si>
  <si>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</si>
  <si>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</si>
  <si>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</si>
  <si>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</si>
  <si>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</si>
  <si>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</si>
  <si>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</si>
  <si>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</si>
  <si>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</si>
  <si>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</si>
  <si>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</si>
  <si>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</si>
  <si>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</si>
  <si>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</si>
  <si>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</si>
  <si>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</si>
  <si>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</si>
  <si>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</si>
  <si>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</si>
  <si>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</si>
  <si>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</si>
  <si>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</si>
  <si>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</si>
  <si>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</si>
  <si>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</si>
  <si>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</si>
  <si>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</si>
  <si>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</si>
  <si>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</si>
  <si>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</si>
  <si>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</si>
  <si>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</si>
  <si>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</si>
  <si>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</si>
  <si>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</si>
  <si>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</si>
  <si>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</si>
  <si>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</si>
  <si>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</si>
  <si>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</si>
  <si>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</si>
  <si>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</si>
  <si>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</si>
  <si>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</si>
  <si>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</si>
  <si>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</si>
  <si>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</si>
  <si>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</si>
  <si>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</si>
  <si>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</si>
  <si>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</si>
  <si>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</si>
  <si>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</si>
  <si>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</si>
  <si>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</si>
  <si>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</si>
  <si>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</si>
  <si>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</si>
  <si>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</si>
  <si>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</si>
  <si>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</si>
  <si>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</si>
  <si>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</si>
  <si>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</si>
  <si>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</si>
  <si>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</si>
  <si>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</si>
  <si>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</si>
  <si>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</si>
  <si>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</si>
  <si>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</si>
  <si>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</si>
  <si>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</si>
  <si>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</si>
  <si>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</si>
  <si>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</si>
  <si>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</si>
  <si>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</si>
  <si>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</si>
  <si>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</si>
  <si>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</si>
  <si>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</si>
  <si>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</si>
  <si>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</si>
  <si>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</si>
  <si>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</si>
  <si>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</si>
  <si>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</si>
  <si>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</si>
  <si>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</si>
  <si>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</si>
  <si>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</si>
  <si>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</si>
  <si>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</si>
  <si>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</si>
  <si>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</si>
  <si>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</si>
  <si>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</si>
  <si>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</si>
  <si>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</si>
  <si>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</si>
  <si>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</si>
  <si>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</si>
  <si>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</si>
  <si>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</si>
  <si>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</si>
  <si>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</si>
  <si>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</si>
  <si>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</si>
  <si>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</si>
  <si>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</si>
  <si>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</si>
  <si>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</si>
  <si>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</si>
  <si>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</si>
  <si>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</si>
  <si>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</si>
  <si>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</si>
  <si>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</si>
  <si>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</si>
  <si>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</si>
  <si>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</si>
  <si>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</si>
  <si>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</si>
  <si>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</si>
  <si>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</si>
  <si>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</si>
  <si>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</si>
  <si>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</si>
  <si>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</si>
  <si>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</si>
  <si>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</si>
  <si>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</si>
  <si>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</si>
  <si>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</si>
  <si>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</si>
  <si>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</si>
  <si>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</si>
  <si>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</si>
  <si>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</si>
  <si>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</si>
  <si>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</si>
  <si>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</si>
  <si>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</si>
  <si>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</si>
  <si>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</si>
  <si>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</si>
  <si>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</si>
  <si>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</si>
  <si>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</si>
  <si>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</si>
  <si>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</si>
  <si>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</si>
  <si>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</si>
  <si>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</si>
  <si>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</si>
  <si>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</si>
  <si>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</si>
  <si>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</si>
  <si>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</si>
  <si>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</si>
  <si>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</si>
  <si>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</si>
  <si>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</si>
  <si>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</si>
  <si>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</si>
  <si>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</si>
  <si>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</si>
  <si>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</si>
  <si>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</si>
  <si>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</si>
  <si>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</si>
  <si>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</si>
  <si>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</si>
  <si>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</si>
  <si>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</si>
  <si>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</si>
  <si>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</si>
  <si>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</si>
  <si>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</si>
  <si>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</si>
  <si>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</si>
  <si>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</si>
  <si>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</si>
  <si>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</si>
  <si>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</si>
  <si>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</si>
  <si>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</si>
  <si>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</si>
  <si>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</si>
  <si>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</si>
  <si>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</si>
  <si>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</si>
  <si>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</si>
  <si>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</si>
  <si>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</si>
  <si>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</si>
  <si>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</si>
  <si>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</si>
  <si>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</si>
  <si>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</si>
  <si>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</si>
  <si>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</si>
  <si>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</si>
  <si>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</si>
  <si>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</si>
  <si>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</si>
  <si>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</si>
  <si>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</si>
  <si>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</si>
  <si>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9959.HK</t>
  </si>
  <si>
    <t>CNY</t>
  </si>
  <si>
    <t>C0008</t>
  </si>
  <si>
    <t>CN</t>
  </si>
  <si>
    <t>Avg</t>
  </si>
  <si>
    <t>聯易融科技－Ｗ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</si>
</sst>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_ "/>
    <numFmt numFmtId="172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8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8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1" fontId="4" fillId="0" borderId="3" xfId="0" applyNumberFormat="1" applyFont="1" applyBorder="1" applyAlignment="1">
      <alignment horizontal="center"/>
    </xf>
    <xf numFmtId="171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2" fontId="6" fillId="0" borderId="3" xfId="0" applyNumberFormat="1" applyFont="1" applyBorder="1" applyAlignment="1">
      <alignment horizontal="center"/>
    </xf>
    <xf numFmtId="172" fontId="2" fillId="0" borderId="12" xfId="0" applyNumberFormat="1" applyFont="1" applyBorder="1" applyAlignment="1">
      <alignment horizontal="center"/>
    </xf>
    <xf numFmtId="172" fontId="1" fillId="0" borderId="11" xfId="0" applyNumberFormat="1" applyFont="1" applyBorder="1" applyAlignment="1">
      <alignment horizontal="center"/>
    </xf>
    <xf numFmtId="172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6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0" fontId="2" fillId="8" borderId="3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64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68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0" sqref="C1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9959.HK : 聯易融科技－Ｗ</v>
      </c>
      <c r="D2" s="94"/>
      <c r="E2" s="7"/>
      <c r="F2" s="7"/>
      <c r="G2" s="93"/>
      <c r="H2" s="93"/>
    </row>
    <row r="3" spans="1:10" ht="15.75" customHeight="1" x14ac:dyDescent="0.15">
      <c r="B3" s="3" t="s">
        <v>221</v>
      </c>
      <c r="C3" s="200" t="s">
        <v>226</v>
      </c>
      <c r="D3" s="201"/>
      <c r="E3" s="94"/>
      <c r="F3" s="3" t="s">
        <v>1</v>
      </c>
      <c r="G3" s="171">
        <v>1.7999999523162842</v>
      </c>
      <c r="H3" s="173" t="s">
        <v>2</v>
      </c>
    </row>
    <row r="4" spans="1:10" ht="15.75" customHeight="1" x14ac:dyDescent="0.15">
      <c r="B4" s="35" t="s">
        <v>222</v>
      </c>
      <c r="C4" s="202" t="s">
        <v>231</v>
      </c>
      <c r="D4" s="203"/>
      <c r="E4" s="94"/>
      <c r="F4" s="3" t="s">
        <v>3</v>
      </c>
      <c r="G4" s="206">
        <v>2284983948</v>
      </c>
      <c r="H4" s="206"/>
      <c r="I4" s="39"/>
    </row>
    <row r="5" spans="1:10" ht="15.75" customHeight="1" x14ac:dyDescent="0.15">
      <c r="B5" s="3" t="s">
        <v>180</v>
      </c>
      <c r="C5" s="204">
        <v>45593</v>
      </c>
      <c r="D5" s="205"/>
      <c r="E5" s="34"/>
      <c r="F5" s="35" t="s">
        <v>102</v>
      </c>
      <c r="G5" s="198">
        <f>G3*G4/1000000</f>
        <v>4112.9709974434745</v>
      </c>
      <c r="H5" s="198"/>
      <c r="I5" s="38"/>
      <c r="J5" s="28"/>
    </row>
    <row r="6" spans="1:10" ht="15.75" customHeight="1" x14ac:dyDescent="0.15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9" t="s">
        <v>227</v>
      </c>
      <c r="H6" s="199"/>
      <c r="I6" s="38"/>
    </row>
    <row r="7" spans="1:10" ht="15.75" customHeight="1" x14ac:dyDescent="0.15">
      <c r="B7" s="93" t="s">
        <v>219</v>
      </c>
      <c r="C7" s="190" t="s">
        <v>71</v>
      </c>
      <c r="D7" s="196" t="s">
        <v>228</v>
      </c>
      <c r="E7" s="94"/>
      <c r="F7" s="35" t="s">
        <v>6</v>
      </c>
      <c r="G7" s="172">
        <v>1.0866400003433228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80" t="s">
        <v>217</v>
      </c>
      <c r="F9" s="186" t="s">
        <v>211</v>
      </c>
    </row>
    <row r="10" spans="1:10" ht="15.75" customHeight="1" x14ac:dyDescent="0.15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2">
      <c r="B11" s="147" t="s">
        <v>203</v>
      </c>
      <c r="C11" s="184">
        <v>5.3099999999999994E-2</v>
      </c>
      <c r="D11" s="177" t="s">
        <v>215</v>
      </c>
      <c r="F11" s="125" t="s">
        <v>201</v>
      </c>
    </row>
    <row r="12" spans="1:10" ht="15.75" customHeight="1" thickTop="1" x14ac:dyDescent="0.15">
      <c r="B12" s="94" t="s">
        <v>142</v>
      </c>
      <c r="C12" s="193">
        <v>0.08</v>
      </c>
      <c r="D12" s="170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200</v>
      </c>
      <c r="C14" s="170">
        <v>2.1309999999999999E-2</v>
      </c>
      <c r="F14" s="125" t="s">
        <v>206</v>
      </c>
    </row>
    <row r="15" spans="1:10" ht="15.75" customHeight="1" x14ac:dyDescent="0.15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2">
      <c r="B16" s="147" t="s">
        <v>213</v>
      </c>
      <c r="C16" s="184">
        <v>0.16</v>
      </c>
      <c r="D16" s="195" t="s">
        <v>216</v>
      </c>
      <c r="F16" s="125" t="s">
        <v>202</v>
      </c>
    </row>
    <row r="17" spans="1:8" ht="15.75" customHeight="1" thickTop="1" x14ac:dyDescent="0.15">
      <c r="B17" s="94" t="s">
        <v>205</v>
      </c>
      <c r="C17" s="194">
        <v>8.8000000000000009E-2</v>
      </c>
      <c r="D17" s="189"/>
    </row>
    <row r="18" spans="1:8" ht="15.75" customHeight="1" x14ac:dyDescent="0.15"/>
    <row r="19" spans="1:8" ht="15.75" customHeight="1" x14ac:dyDescent="0.15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15">
      <c r="B20" s="177" t="s">
        <v>187</v>
      </c>
      <c r="C20" s="178">
        <f>Fin_Analysis!F75</f>
        <v>0.39325092997635303</v>
      </c>
      <c r="F20" s="181" t="s">
        <v>195</v>
      </c>
      <c r="G20" s="178">
        <f>Fin_Analysis!F91</f>
        <v>-5.9181858226133893E-2</v>
      </c>
    </row>
    <row r="21" spans="1:8" ht="15.75" customHeight="1" x14ac:dyDescent="0.15">
      <c r="B21" s="177" t="s">
        <v>188</v>
      </c>
      <c r="C21" s="178">
        <f>Fin_Analysis!F77</f>
        <v>0.24326660244029483</v>
      </c>
      <c r="F21" s="181" t="s">
        <v>194</v>
      </c>
      <c r="G21" s="178">
        <f>Fin_Analysis!F92</f>
        <v>0.02</v>
      </c>
    </row>
    <row r="22" spans="1:8" ht="15.75" customHeight="1" x14ac:dyDescent="0.15">
      <c r="B22" s="177" t="s">
        <v>189</v>
      </c>
      <c r="C22" s="178">
        <f>Fin_Analysis!F79</f>
        <v>9.5705744879944314E-3</v>
      </c>
      <c r="F22" s="185" t="s">
        <v>210</v>
      </c>
    </row>
    <row r="23" spans="1:8" ht="15.75" customHeight="1" x14ac:dyDescent="0.15">
      <c r="B23" s="177" t="s">
        <v>190</v>
      </c>
      <c r="C23" s="178">
        <f>Fin_Analysis!F80</f>
        <v>0.57635255668591923</v>
      </c>
      <c r="F23" s="181" t="s">
        <v>214</v>
      </c>
      <c r="G23" s="188">
        <f>G3/(Data!C34*Data!E3/Common_Shares*Exchange_Rate)</f>
        <v>0.44617852782690237</v>
      </c>
    </row>
    <row r="24" spans="1:8" ht="15.75" customHeight="1" x14ac:dyDescent="0.15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-3.8655647819801492E-2</v>
      </c>
    </row>
    <row r="25" spans="1:8" ht="15.75" customHeight="1" x14ac:dyDescent="0.15">
      <c r="B25" s="177" t="s">
        <v>218</v>
      </c>
      <c r="C25" s="178">
        <f>Fin_Analysis!F82</f>
        <v>2.3716125582531654E-3</v>
      </c>
      <c r="F25" s="181" t="s">
        <v>197</v>
      </c>
      <c r="G25" s="178">
        <f>Fin_Analysis!F87</f>
        <v>-1.5617094502880811</v>
      </c>
    </row>
    <row r="26" spans="1:8" ht="15.75" customHeight="1" x14ac:dyDescent="0.15">
      <c r="B26" s="179" t="s">
        <v>193</v>
      </c>
      <c r="C26" s="178">
        <f>Fin_Analysis!F83</f>
        <v>-0.22481227614881466</v>
      </c>
      <c r="F26" s="183" t="s">
        <v>220</v>
      </c>
      <c r="G26" s="182">
        <f>Fin_Analysis!E87*Exchange_Rate/G3</f>
        <v>6.0368890507191832E-2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15">
      <c r="B29" s="94" t="s">
        <v>186</v>
      </c>
      <c r="C29" s="168">
        <f>IF(Fin_Analysis!C106="Profit",Fin_Analysis!E98,IF(Fin_Analysis!C106="Dividend",Fin_Analysis!E101,Fin_Analysis!E104))</f>
        <v>1.0909653398545929</v>
      </c>
      <c r="D29" s="167">
        <f>IF(Fin_Analysis!C106="Profit",Fin_Analysis!F98,IF(Fin_Analysis!C106="Dividend",Fin_Analysis!F101,Fin_Analysis!F104))</f>
        <v>1.8182755664243213</v>
      </c>
      <c r="E29" s="94"/>
      <c r="F29" s="169">
        <f>IF(Fin_Analysis!C106="Profit",Fin_Analysis!D98,IF(Fin_Analysis!C106="Dividend",Fin_Analysis!D101,Fin_Analysis!D104))</f>
        <v>1.4546204531394571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35" sqref="D3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867764</v>
      </c>
      <c r="D6" s="58">
        <v>924200</v>
      </c>
      <c r="E6" s="58">
        <v>1198013</v>
      </c>
      <c r="F6" s="58">
        <v>1028541</v>
      </c>
      <c r="G6" s="58">
        <v>699593</v>
      </c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-6.1064704609391951E-2</v>
      </c>
      <c r="D7" s="103">
        <f t="shared" si="1"/>
        <v>-0.22855595056147138</v>
      </c>
      <c r="E7" s="103">
        <f t="shared" si="1"/>
        <v>0.16476931887012758</v>
      </c>
      <c r="F7" s="103">
        <f t="shared" si="1"/>
        <v>0.47019910147757349</v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341249</v>
      </c>
      <c r="D8" s="92">
        <v>149665</v>
      </c>
      <c r="E8" s="92">
        <v>270763</v>
      </c>
      <c r="F8" s="92">
        <v>398163</v>
      </c>
      <c r="G8" s="92">
        <v>336621</v>
      </c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526515</v>
      </c>
      <c r="D9" s="101">
        <f t="shared" si="2"/>
        <v>774535</v>
      </c>
      <c r="E9" s="101">
        <f t="shared" si="2"/>
        <v>927250</v>
      </c>
      <c r="F9" s="101">
        <f t="shared" si="2"/>
        <v>630378</v>
      </c>
      <c r="G9" s="101">
        <f t="shared" si="2"/>
        <v>362972</v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v>345571</v>
      </c>
      <c r="D10" s="92">
        <v>398159</v>
      </c>
      <c r="E10" s="92">
        <v>356401</v>
      </c>
      <c r="F10" s="92">
        <v>124222</v>
      </c>
      <c r="G10" s="92">
        <v>94347</v>
      </c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0.15496494438580075</v>
      </c>
      <c r="D11" s="97">
        <f t="shared" si="3"/>
        <v>0.11368426747457261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134473</v>
      </c>
      <c r="D12" s="92">
        <v>105067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315417</v>
      </c>
      <c r="D13" s="101">
        <f t="shared" ref="D13:M13" si="4">IF(D6="","",(D9-D10+D12))</f>
        <v>481443</v>
      </c>
      <c r="E13" s="101">
        <f t="shared" si="4"/>
        <v>570849</v>
      </c>
      <c r="F13" s="101">
        <f t="shared" si="4"/>
        <v>506156</v>
      </c>
      <c r="G13" s="101">
        <f t="shared" si="4"/>
        <v>268625</v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>
        <v>365801</v>
      </c>
      <c r="D14" s="92">
        <v>351118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134337</v>
      </c>
      <c r="D15" s="92">
        <v>170139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v>-252904</v>
      </c>
      <c r="D16" s="92">
        <v>1593322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8305</v>
      </c>
      <c r="D17" s="92">
        <v>30280</v>
      </c>
      <c r="E17" s="92">
        <v>135144</v>
      </c>
      <c r="F17" s="92">
        <v>140407</v>
      </c>
      <c r="G17" s="92">
        <v>108297</v>
      </c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2058</v>
      </c>
      <c r="D18" s="92">
        <v>8397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-195770</v>
      </c>
      <c r="D19" s="95">
        <f>IF(D6="","",D13-D14-MAX(D15,0)-MAX(D16,0)-D17-MAX(D18/(1-Fin_Analysis!$F$84),0))</f>
        <v>-1674612</v>
      </c>
      <c r="E19" s="95">
        <f>IF(E6="","",E13-E14-MAX(E15,0)-MAX(E16,0)-E17-MAX(E18/(1-Fin_Analysis!$F$84),0))</f>
        <v>435705</v>
      </c>
      <c r="F19" s="95">
        <f>IF(F6="","",F13-F14-MAX(F15,0)-MAX(F16,0)-F17-MAX(F18/(1-Fin_Analysis!$F$84),0))</f>
        <v>365749</v>
      </c>
      <c r="G19" s="95">
        <f>IF(G6="","",G13-G14-MAX(G15,0)-MAX(G16,0)-G17-MAX(G18/(1-Fin_Analysis!$F$84),0))</f>
        <v>160328</v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0.88309530804747605</v>
      </c>
      <c r="D20" s="57" t="str">
        <f t="shared" ref="D20:M20" si="5">IF(E19="","",IF(ABS(D19+E19)=ABS(D19)+ABS(E19),IF(D19&lt;0,-1,1)*(D19-E19)/E19,"Turn"))</f>
        <v>Turn</v>
      </c>
      <c r="E20" s="57">
        <f t="shared" si="5"/>
        <v>0.19126778200350514</v>
      </c>
      <c r="F20" s="57">
        <f t="shared" si="5"/>
        <v>1.281254677910284</v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-0.16920211025117429</v>
      </c>
      <c r="D21" s="56">
        <f t="shared" si="6"/>
        <v>-1.3589688379138714</v>
      </c>
      <c r="E21" s="56">
        <f t="shared" si="6"/>
        <v>0.27276728215804003</v>
      </c>
      <c r="F21" s="56">
        <f t="shared" si="6"/>
        <v>0.26669986903779236</v>
      </c>
      <c r="G21" s="56">
        <f t="shared" si="6"/>
        <v>0.17187993590559081</v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-146827.5</v>
      </c>
      <c r="D22" s="95">
        <f>IF(D6="","",D19*(1-Fin_Analysis!$F$84))</f>
        <v>-1255959</v>
      </c>
      <c r="E22" s="95">
        <f>IF(E6="","",E19*(1-Fin_Analysis!$F$84))</f>
        <v>326778.75</v>
      </c>
      <c r="F22" s="95">
        <f>IF(F6="","",F19*(1-Fin_Analysis!$F$84))</f>
        <v>274311.75</v>
      </c>
      <c r="G22" s="95">
        <f>IF(G6="","",G19*(1-Fin_Analysis!$F$84))</f>
        <v>120246</v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0.88309530804747605</v>
      </c>
      <c r="D23" s="80" t="str">
        <f t="shared" ref="D23:M23" si="7">IF(E22="","",IF(ABS(D22+E22)=ABS(D22)+ABS(E22),IF(D22&lt;0,-1,1)*(D22-E22)/E22,"Turn"))</f>
        <v>Turn</v>
      </c>
      <c r="E23" s="80">
        <f t="shared" si="7"/>
        <v>0.19126778200350514</v>
      </c>
      <c r="F23" s="80">
        <f t="shared" si="7"/>
        <v>1.281254677910284</v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9518344</v>
      </c>
      <c r="D25" s="41">
        <f t="shared" si="17"/>
        <v>11924356</v>
      </c>
      <c r="E25" s="41">
        <f t="shared" si="17"/>
        <v>11807980</v>
      </c>
      <c r="F25" s="41">
        <f t="shared" si="17"/>
        <v>6136353</v>
      </c>
      <c r="G25" s="41">
        <f t="shared" si="17"/>
        <v>3771231</v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8648319</v>
      </c>
      <c r="D26" s="92">
        <v>11098580</v>
      </c>
      <c r="E26" s="92">
        <v>11219637</v>
      </c>
      <c r="F26" s="92">
        <v>5753012</v>
      </c>
      <c r="G26" s="92">
        <v>3489602</v>
      </c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2576350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959583</v>
      </c>
      <c r="D29" s="92">
        <v>1937845</v>
      </c>
      <c r="E29" s="92">
        <v>2024596</v>
      </c>
      <c r="F29" s="92">
        <v>9408613</v>
      </c>
      <c r="G29" s="92">
        <v>6338479</v>
      </c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75530</v>
      </c>
      <c r="D30" s="92">
        <v>29983</v>
      </c>
      <c r="E30" s="92">
        <v>61277</v>
      </c>
      <c r="F30" s="92">
        <v>51229</v>
      </c>
      <c r="G30" s="92">
        <v>23195</v>
      </c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289150</v>
      </c>
      <c r="D31" s="92">
        <v>29464</v>
      </c>
      <c r="E31" s="92">
        <v>1195554</v>
      </c>
      <c r="F31" s="92">
        <v>2707794</v>
      </c>
      <c r="G31" s="92">
        <v>1053656</v>
      </c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74975</v>
      </c>
      <c r="D32" s="92">
        <v>29983</v>
      </c>
      <c r="E32" s="92">
        <v>61277</v>
      </c>
      <c r="F32" s="92">
        <v>51229</v>
      </c>
      <c r="G32" s="92">
        <v>23195</v>
      </c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364125</v>
      </c>
      <c r="D33" s="95">
        <f t="shared" si="18"/>
        <v>59447</v>
      </c>
      <c r="E33" s="95">
        <f t="shared" si="18"/>
        <v>1256831</v>
      </c>
      <c r="F33" s="95">
        <f t="shared" si="18"/>
        <v>2759023</v>
      </c>
      <c r="G33" s="95">
        <f t="shared" si="18"/>
        <v>1076851</v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8483231</v>
      </c>
      <c r="D34" s="92">
        <v>9956528</v>
      </c>
      <c r="E34" s="92">
        <v>9722107</v>
      </c>
      <c r="F34" s="92">
        <v>-3323489</v>
      </c>
      <c r="G34" s="92">
        <v>-2590443</v>
      </c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-3429</v>
      </c>
      <c r="D35" s="92">
        <v>9957299</v>
      </c>
      <c r="E35" s="92">
        <v>9714578</v>
      </c>
      <c r="F35" s="92">
        <v>-3329901</v>
      </c>
      <c r="G35" s="92">
        <v>-2595281</v>
      </c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6221996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3296348</v>
      </c>
      <c r="D37" s="41">
        <f t="shared" ref="D37:M37" si="19">IF(D6="","",D25-D36)</f>
        <v>11924356</v>
      </c>
      <c r="E37" s="41">
        <f t="shared" si="19"/>
        <v>11807980</v>
      </c>
      <c r="F37" s="41">
        <f t="shared" si="19"/>
        <v>6136353</v>
      </c>
      <c r="G37" s="41">
        <f t="shared" si="19"/>
        <v>3771231</v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173</v>
      </c>
      <c r="C38" s="104">
        <f>IF(C6="","",C19/C37)</f>
        <v>-5.9389967321411455E-2</v>
      </c>
      <c r="D38" s="104">
        <f t="shared" ref="D38:M38" si="20">IF(D6="","",D19/D37)</f>
        <v>-0.1404362633923375</v>
      </c>
      <c r="E38" s="104">
        <f t="shared" si="20"/>
        <v>3.6899198677504533E-2</v>
      </c>
      <c r="F38" s="104">
        <f t="shared" si="20"/>
        <v>5.9603644053723766E-2</v>
      </c>
      <c r="G38" s="104">
        <f t="shared" si="20"/>
        <v>4.2513439245699877E-2</v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0.39325092997635303</v>
      </c>
      <c r="D40" s="61">
        <f t="shared" si="21"/>
        <v>0.16194005626487773</v>
      </c>
      <c r="E40" s="61">
        <f t="shared" si="21"/>
        <v>0.22601006833815659</v>
      </c>
      <c r="F40" s="61">
        <f t="shared" si="21"/>
        <v>0.38711436880007699</v>
      </c>
      <c r="G40" s="61">
        <f t="shared" si="21"/>
        <v>0.48116690704452447</v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0.24326660244029483</v>
      </c>
      <c r="D41" s="56">
        <f t="shared" si="22"/>
        <v>0.31713049123566328</v>
      </c>
      <c r="E41" s="56">
        <f t="shared" si="22"/>
        <v>0.29749343287593705</v>
      </c>
      <c r="F41" s="56">
        <f t="shared" si="22"/>
        <v>0.12077496181484258</v>
      </c>
      <c r="G41" s="56">
        <f t="shared" si="22"/>
        <v>0.13485983993550535</v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0.57635255668591923</v>
      </c>
      <c r="D42" s="56">
        <f t="shared" si="23"/>
        <v>0.56400887253841159</v>
      </c>
      <c r="E42" s="56">
        <f t="shared" si="23"/>
        <v>0</v>
      </c>
      <c r="F42" s="56">
        <f t="shared" si="23"/>
        <v>0</v>
      </c>
      <c r="G42" s="56">
        <f t="shared" si="23"/>
        <v>0</v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1.7240012984202553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9.5705744879944314E-3</v>
      </c>
      <c r="D44" s="56">
        <f t="shared" si="25"/>
        <v>3.2763471110149316E-2</v>
      </c>
      <c r="E44" s="56">
        <f t="shared" si="25"/>
        <v>0.11280678924185297</v>
      </c>
      <c r="F44" s="56">
        <f t="shared" si="25"/>
        <v>0.13651084400135727</v>
      </c>
      <c r="G44" s="56">
        <f t="shared" si="25"/>
        <v>0.15480000514584907</v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3.1621500776708874E-3</v>
      </c>
      <c r="D45" s="56">
        <f>IF(D6="","",MAX(D18,0)/(1-Fin_Analysis!$F$84)/D6)</f>
        <v>1.2114260982471326E-2</v>
      </c>
      <c r="E45" s="56">
        <f>IF(E6="","",MAX(E18,0)/(1-Fin_Analysis!$F$84)/E6)</f>
        <v>0</v>
      </c>
      <c r="F45" s="56">
        <f>IF(F6="","",MAX(F18,0)/(1-Fin_Analysis!$F$84)/F6)</f>
        <v>0</v>
      </c>
      <c r="G45" s="56">
        <f>IF(G6="","",MAX(G18,0)/(1-Fin_Analysis!$F$84)/G6)</f>
        <v>0</v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-0.22560281366823237</v>
      </c>
      <c r="D46" s="56">
        <f t="shared" si="26"/>
        <v>-1.8119584505518287</v>
      </c>
      <c r="E46" s="56">
        <f t="shared" si="26"/>
        <v>0.36368970954405339</v>
      </c>
      <c r="F46" s="56">
        <f t="shared" si="26"/>
        <v>0.35559982538372314</v>
      </c>
      <c r="G46" s="56">
        <f t="shared" si="26"/>
        <v>0.22917324787412111</v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2.9689523879764543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0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0.10874927403338228</v>
      </c>
      <c r="D51" s="61">
        <f t="shared" ref="D51:M51" si="29">IF(D34="","",(D25-D34)/D25)</f>
        <v>0.16502593515322755</v>
      </c>
      <c r="E51" s="61">
        <f t="shared" si="29"/>
        <v>0.176649435381835</v>
      </c>
      <c r="F51" s="61">
        <f t="shared" si="29"/>
        <v>1.5416065535995078</v>
      </c>
      <c r="G51" s="61">
        <f t="shared" si="29"/>
        <v>1.6868958703404804</v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-0.53764503947820119</v>
      </c>
      <c r="D52" s="60">
        <f t="shared" si="30"/>
        <v>-28.169831951149764</v>
      </c>
      <c r="E52" s="60">
        <f t="shared" si="30"/>
        <v>0.34666952040489135</v>
      </c>
      <c r="F52" s="60">
        <f t="shared" si="30"/>
        <v>0.13256467959853904</v>
      </c>
      <c r="G52" s="60">
        <f t="shared" si="30"/>
        <v>0.1488859647249248</v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-4.2422230168054346E-2</v>
      </c>
      <c r="D53" s="56">
        <f t="shared" si="31"/>
        <v>-1.8081800440937962E-2</v>
      </c>
      <c r="E53" s="56">
        <f t="shared" si="31"/>
        <v>0.31017316762488378</v>
      </c>
      <c r="F53" s="56">
        <f t="shared" si="31"/>
        <v>0.38388895116596355</v>
      </c>
      <c r="G53" s="56">
        <f t="shared" si="31"/>
        <v>0.67547153335661891</v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9.0125804646393277</v>
      </c>
      <c r="D54" s="62">
        <f t="shared" si="32"/>
        <v>5.7272795295805388</v>
      </c>
      <c r="E54" s="62">
        <f t="shared" si="32"/>
        <v>5.5416670782714181</v>
      </c>
      <c r="F54" s="62">
        <f t="shared" si="32"/>
        <v>0.61146228461091978</v>
      </c>
      <c r="G54" s="62">
        <f t="shared" si="32"/>
        <v>0.55054248818999008</v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9" zoomScaleNormal="100" workbookViewId="0">
      <selection activeCell="D108" sqref="D10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1">
        <f>C49-I49</f>
        <v>8483231</v>
      </c>
      <c r="E3" s="73" t="str">
        <f>IF((C49-I49)=D3,"", "Error!")</f>
        <v/>
      </c>
      <c r="F3" s="94"/>
      <c r="G3" s="94"/>
      <c r="H3" s="47" t="s">
        <v>24</v>
      </c>
      <c r="I3" s="59">
        <v>8486660</v>
      </c>
      <c r="K3" s="24"/>
    </row>
    <row r="4" spans="1:11" ht="15" customHeight="1" x14ac:dyDescent="0.15">
      <c r="B4" s="3" t="s">
        <v>25</v>
      </c>
      <c r="C4" s="94"/>
      <c r="D4" s="69">
        <f>D3-I3</f>
        <v>-3429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9.0125804646393277</v>
      </c>
      <c r="K5" s="24"/>
    </row>
    <row r="6" spans="1:11" ht="15" customHeight="1" thickBot="1" x14ac:dyDescent="0.2">
      <c r="B6" s="20" t="s">
        <v>27</v>
      </c>
      <c r="C6" s="94"/>
      <c r="D6" s="75">
        <f>E49-I49-E53</f>
        <v>6570065.1961719198</v>
      </c>
      <c r="E6" s="56">
        <f>1-D6/D3</f>
        <v>0.22552324743108854</v>
      </c>
      <c r="F6" s="94"/>
      <c r="G6" s="94"/>
      <c r="H6" s="1" t="s">
        <v>30</v>
      </c>
      <c r="I6" s="67">
        <f>(C24+C25)/I28</f>
        <v>9.0125804646393277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3.1244401752899789</v>
      </c>
      <c r="E7" s="11" t="str">
        <f>Dashboard!H3</f>
        <v>HKD</v>
      </c>
      <c r="H7" s="1" t="s">
        <v>31</v>
      </c>
      <c r="I7" s="67">
        <f>C24/I28</f>
        <v>8.9487621185452433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223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4923071</v>
      </c>
      <c r="D11" s="64">
        <v>1</v>
      </c>
      <c r="E11" s="95">
        <f t="shared" ref="E11:E21" si="0">C11*D11</f>
        <v>4923071</v>
      </c>
      <c r="F11" s="127"/>
      <c r="G11" s="94"/>
      <c r="H11" s="3" t="s">
        <v>39</v>
      </c>
      <c r="I11" s="63">
        <v>270468</v>
      </c>
      <c r="J11" s="94"/>
      <c r="K11" s="24"/>
    </row>
    <row r="12" spans="1:11" ht="14" x14ac:dyDescent="0.15">
      <c r="B12" s="1" t="s">
        <v>148</v>
      </c>
      <c r="C12" s="63">
        <v>163001</v>
      </c>
      <c r="D12" s="64">
        <v>0.95</v>
      </c>
      <c r="E12" s="95">
        <f t="shared" si="0"/>
        <v>154850.94999999998</v>
      </c>
      <c r="F12" s="127"/>
      <c r="G12" s="94"/>
      <c r="H12" s="3" t="s">
        <v>40</v>
      </c>
      <c r="I12" s="63">
        <v>18682</v>
      </c>
      <c r="J12" s="94"/>
      <c r="K12" s="24"/>
    </row>
    <row r="13" spans="1:11" ht="14" x14ac:dyDescent="0.15">
      <c r="B13" s="3" t="s">
        <v>121</v>
      </c>
      <c r="C13" s="63">
        <v>2576350</v>
      </c>
      <c r="D13" s="64">
        <v>0.8</v>
      </c>
      <c r="E13" s="95">
        <f t="shared" si="0"/>
        <v>2061080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>
        <v>924658</v>
      </c>
      <c r="D14" s="64">
        <v>0.3</v>
      </c>
      <c r="E14" s="95">
        <f>C14*D14</f>
        <v>277397.39999999997</v>
      </c>
      <c r="F14" s="127"/>
      <c r="G14" s="94"/>
      <c r="H14" s="93" t="s">
        <v>43</v>
      </c>
      <c r="I14" s="145"/>
      <c r="J14" s="94"/>
      <c r="K14" s="27"/>
    </row>
    <row r="15" spans="1:11" ht="14" x14ac:dyDescent="0.15">
      <c r="B15" s="3" t="s">
        <v>44</v>
      </c>
      <c r="C15" s="63">
        <v>43659</v>
      </c>
      <c r="D15" s="64">
        <v>0.05</v>
      </c>
      <c r="E15" s="95">
        <f>C15*D15</f>
        <v>2182.9500000000003</v>
      </c>
      <c r="F15" s="127"/>
      <c r="G15" s="94"/>
      <c r="H15" s="1" t="s">
        <v>54</v>
      </c>
      <c r="I15" s="91">
        <f>SUM(I11:I14)</f>
        <v>289150</v>
      </c>
      <c r="J15" s="94"/>
    </row>
    <row r="16" spans="1:11" ht="14" x14ac:dyDescent="0.15">
      <c r="B16" s="1" t="s">
        <v>174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17580</v>
      </c>
      <c r="D17" s="64">
        <v>0.1</v>
      </c>
      <c r="E17" s="95">
        <f t="shared" si="0"/>
        <v>1758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/>
      <c r="D18" s="64">
        <v>0.5</v>
      </c>
      <c r="E18" s="95">
        <f t="shared" si="0"/>
        <v>0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/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670433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8587080</v>
      </c>
      <c r="D24" s="66">
        <f>IF(E24=0,0,E24/C24)</f>
        <v>0.86366953027105842</v>
      </c>
      <c r="E24" s="95">
        <f>SUM(E11:E14)</f>
        <v>7416399.3500000006</v>
      </c>
      <c r="F24" s="129">
        <f>E24/$E$28</f>
        <v>0.99946889902070934</v>
      </c>
      <c r="G24" s="94"/>
    </row>
    <row r="25" spans="2:10" ht="15" customHeight="1" x14ac:dyDescent="0.15">
      <c r="B25" s="23" t="s">
        <v>55</v>
      </c>
      <c r="C25" s="65">
        <f>SUM(C15:C17)</f>
        <v>61239</v>
      </c>
      <c r="D25" s="66">
        <f>IF(E25=0,0,E25/C25)</f>
        <v>6.435359819722726E-2</v>
      </c>
      <c r="E25" s="95">
        <f>SUM(E15:E17)</f>
        <v>3940.9500000000003</v>
      </c>
      <c r="F25" s="129">
        <f t="shared" ref="F25:F27" si="2">E25/$E$28</f>
        <v>5.3110097929066674E-4</v>
      </c>
      <c r="G25" s="94"/>
      <c r="H25" s="23" t="s">
        <v>56</v>
      </c>
      <c r="I25" s="67">
        <f>E28/I28</f>
        <v>7.732880115633562</v>
      </c>
    </row>
    <row r="26" spans="2:10" ht="15" customHeight="1" x14ac:dyDescent="0.15">
      <c r="B26" s="23" t="s">
        <v>57</v>
      </c>
      <c r="C26" s="65">
        <f>C18+C19+C20</f>
        <v>0</v>
      </c>
      <c r="D26" s="66">
        <f t="shared" ref="D26:D27" si="3">IF(E26=0,0,E26/C26)</f>
        <v>0</v>
      </c>
      <c r="E26" s="95">
        <f>E18+E19+E20</f>
        <v>0</v>
      </c>
      <c r="F26" s="129">
        <f t="shared" si="2"/>
        <v>0</v>
      </c>
      <c r="G26" s="94"/>
      <c r="H26" s="23" t="s">
        <v>58</v>
      </c>
      <c r="I26" s="67">
        <f>E24/($I$28-I22)</f>
        <v>25.648968874286705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0</v>
      </c>
      <c r="D27" s="66">
        <f t="shared" si="3"/>
        <v>0</v>
      </c>
      <c r="E27" s="95">
        <f>E21+E22</f>
        <v>0</v>
      </c>
      <c r="F27" s="129">
        <f t="shared" si="2"/>
        <v>0</v>
      </c>
      <c r="G27" s="94"/>
      <c r="H27" s="23" t="s">
        <v>60</v>
      </c>
      <c r="I27" s="67">
        <f>(E25+E24)/$I$28</f>
        <v>7.732880115633562</v>
      </c>
      <c r="J27" s="8" t="str">
        <f>IF(OR(I27&lt;0.75,C28&lt;I28),"Liquidity Problem!","")</f>
        <v/>
      </c>
    </row>
    <row r="28" spans="2:10" ht="15" customHeight="1" x14ac:dyDescent="0.15">
      <c r="B28" s="85" t="s">
        <v>15</v>
      </c>
      <c r="C28" s="86">
        <f>SUM(C11:C22)</f>
        <v>8648319</v>
      </c>
      <c r="D28" s="61">
        <f t="shared" ref="D28" si="4">E28/C28</f>
        <v>0.85800955075778318</v>
      </c>
      <c r="E28" s="76">
        <f>SUM(E24:E27)</f>
        <v>7420340.3000000007</v>
      </c>
      <c r="F28" s="127"/>
      <c r="G28" s="94"/>
      <c r="H28" s="85" t="s">
        <v>16</v>
      </c>
      <c r="I28" s="72">
        <v>959583</v>
      </c>
      <c r="J28" s="32">
        <f>IF(J26="",1,0)+IF(J27="",1,0)+IF(J46="",1,0)+IF(J47="",1,0)</f>
        <v>4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>
        <v>98517</v>
      </c>
      <c r="D31" s="64">
        <v>0.5</v>
      </c>
      <c r="E31" s="95">
        <f t="shared" ref="E31:E42" si="5">C31*D31</f>
        <v>49258.5</v>
      </c>
      <c r="F31" s="127"/>
      <c r="G31" s="94"/>
      <c r="H31" s="3" t="s">
        <v>64</v>
      </c>
      <c r="I31" s="63">
        <v>74975</v>
      </c>
      <c r="J31" s="94"/>
    </row>
    <row r="32" spans="2:10" ht="15" customHeight="1" x14ac:dyDescent="0.15">
      <c r="B32" s="3" t="s">
        <v>65</v>
      </c>
      <c r="C32" s="63">
        <v>0</v>
      </c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175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4" x14ac:dyDescent="0.15">
      <c r="B34" s="3" t="s">
        <v>68</v>
      </c>
      <c r="C34" s="63">
        <v>28511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74975</v>
      </c>
      <c r="J34" s="94"/>
    </row>
    <row r="35" spans="2:10" ht="14" x14ac:dyDescent="0.15">
      <c r="B35" s="3" t="s">
        <v>70</v>
      </c>
      <c r="C35" s="63">
        <v>232091</v>
      </c>
      <c r="D35" s="64">
        <v>0.1</v>
      </c>
      <c r="E35" s="95">
        <f t="shared" si="5"/>
        <v>23209.100000000002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0</v>
      </c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116537</v>
      </c>
      <c r="D38" s="64">
        <v>0.1</v>
      </c>
      <c r="E38" s="95">
        <f>C38*D38</f>
        <v>11653.7</v>
      </c>
      <c r="F38" s="127"/>
      <c r="G38" s="94"/>
      <c r="H38" s="94"/>
      <c r="I38" s="94"/>
    </row>
    <row r="39" spans="2:10" ht="14" x14ac:dyDescent="0.15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306071</v>
      </c>
      <c r="D40" s="64">
        <v>0.05</v>
      </c>
      <c r="E40" s="95">
        <f t="shared" si="5"/>
        <v>15303.550000000001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88298</v>
      </c>
      <c r="D41" s="64">
        <v>0.95</v>
      </c>
      <c r="E41" s="95">
        <f t="shared" si="5"/>
        <v>83883.099999999991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/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555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98517</v>
      </c>
      <c r="D44" s="66">
        <f>IF(E44=0,0,E44/C44)</f>
        <v>0.5</v>
      </c>
      <c r="E44" s="95">
        <f>SUM(E30:E31)</f>
        <v>49258.5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260602</v>
      </c>
      <c r="D45" s="66">
        <f>IF(E45=0,0,E45/C45)</f>
        <v>8.9059562090851196E-2</v>
      </c>
      <c r="E45" s="95">
        <f>SUM(E32:E35)</f>
        <v>23209.100000000002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116537</v>
      </c>
      <c r="D46" s="66">
        <f t="shared" ref="D46:D47" si="6">IF(E46=0,0,E46/C46)</f>
        <v>0.1</v>
      </c>
      <c r="E46" s="95">
        <f>E36+E37+E38+E39</f>
        <v>11653.7</v>
      </c>
      <c r="F46" s="94"/>
      <c r="G46" s="94"/>
      <c r="H46" s="23" t="s">
        <v>81</v>
      </c>
      <c r="I46" s="67">
        <f>(E44+E24)/E64</f>
        <v>20.503008170271201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394369</v>
      </c>
      <c r="D47" s="66">
        <f t="shared" si="6"/>
        <v>0.25150721785941593</v>
      </c>
      <c r="E47" s="95">
        <f>E40+E41+E42</f>
        <v>99186.65</v>
      </c>
      <c r="F47" s="94"/>
      <c r="G47" s="94"/>
      <c r="H47" s="23" t="s">
        <v>83</v>
      </c>
      <c r="I47" s="67">
        <f>(E44+E45+E24+E25)/$I$49</f>
        <v>7.2386376173422615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870025</v>
      </c>
      <c r="D48" s="89">
        <f>E48/C48</f>
        <v>0.21069273871440478</v>
      </c>
      <c r="E48" s="83">
        <f>SUM(E30:E42)</f>
        <v>183307.95</v>
      </c>
      <c r="F48" s="94"/>
      <c r="G48" s="94"/>
      <c r="H48" s="87" t="s">
        <v>85</v>
      </c>
      <c r="I48" s="90">
        <v>75530</v>
      </c>
      <c r="J48" s="8"/>
    </row>
    <row r="49" spans="2:10" ht="15" customHeight="1" thickTop="1" x14ac:dyDescent="0.15">
      <c r="B49" s="3" t="s">
        <v>14</v>
      </c>
      <c r="C49" s="65">
        <f>C28+C48</f>
        <v>9518344</v>
      </c>
      <c r="D49" s="56">
        <f>E49/C49</f>
        <v>0.7988415054131266</v>
      </c>
      <c r="E49" s="95">
        <f>E28+E48</f>
        <v>7603648.2500000009</v>
      </c>
      <c r="F49" s="94"/>
      <c r="G49" s="94"/>
      <c r="H49" s="3" t="s">
        <v>86</v>
      </c>
      <c r="I49" s="52">
        <f>I28+I48</f>
        <v>1035113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D4</f>
        <v>-3429</v>
      </c>
      <c r="D53" s="29">
        <f>IF(E53=0, 0,E53/C53)</f>
        <v>0.44617852782690237</v>
      </c>
      <c r="E53" s="95">
        <f>MAX(C53,C53*Dashboard!G23)</f>
        <v>-1529.9461719184483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11">
        <f>I15+I34</f>
        <v>364125</v>
      </c>
      <c r="E56" s="212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6">
        <v>0</v>
      </c>
      <c r="E57" s="205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6">
        <v>0</v>
      </c>
      <c r="E58" s="205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1298925</v>
      </c>
      <c r="D61" s="56">
        <f t="shared" ref="D61:D70" si="7">IF(E61=0,0,E61/C61)</f>
        <v>0.27103023654175562</v>
      </c>
      <c r="E61" s="52">
        <f>E14+E15+(E19*G19)+(E20*G20)+E31+E32+(E35*G35)+(E36*G36)+(E37*G37)</f>
        <v>352047.94999999995</v>
      </c>
      <c r="F61" s="94"/>
      <c r="G61" s="94"/>
      <c r="H61" s="94"/>
      <c r="I61" s="94"/>
    </row>
    <row r="62" spans="2:10" ht="14" x14ac:dyDescent="0.15">
      <c r="B62" s="35" t="s">
        <v>152</v>
      </c>
      <c r="C62" s="142">
        <f>C11+C30</f>
        <v>4923071</v>
      </c>
      <c r="D62" s="122">
        <f t="shared" si="7"/>
        <v>1</v>
      </c>
      <c r="E62" s="143">
        <f>E11+E30</f>
        <v>4923071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6221996</v>
      </c>
      <c r="D63" s="29">
        <f t="shared" si="7"/>
        <v>0.84781779833995397</v>
      </c>
      <c r="E63" s="65">
        <f>E61+E62</f>
        <v>5275118.95</v>
      </c>
      <c r="F63" s="94"/>
      <c r="G63" s="94"/>
      <c r="H63" s="94"/>
      <c r="I63" s="94"/>
    </row>
    <row r="64" spans="2:10" thickBot="1" x14ac:dyDescent="0.2">
      <c r="B64" s="146" t="s">
        <v>164</v>
      </c>
      <c r="C64" s="147"/>
      <c r="D64" s="148"/>
      <c r="E64" s="75">
        <f>D56+D57+D58</f>
        <v>364125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5857871</v>
      </c>
      <c r="D65" s="29">
        <f t="shared" si="7"/>
        <v>0.83835815947466241</v>
      </c>
      <c r="E65" s="65">
        <f>E63-E64</f>
        <v>4910993.95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3296348</v>
      </c>
      <c r="D68" s="29">
        <f t="shared" si="7"/>
        <v>0.70639668505873798</v>
      </c>
      <c r="E68" s="74">
        <f>E49-E63</f>
        <v>2328529.3000000007</v>
      </c>
      <c r="F68" s="94"/>
      <c r="G68" s="94"/>
      <c r="H68" s="94"/>
      <c r="I68" s="94"/>
    </row>
    <row r="69" spans="1:9" thickBot="1" x14ac:dyDescent="0.2">
      <c r="B69" s="146" t="s">
        <v>165</v>
      </c>
      <c r="C69" s="147"/>
      <c r="D69" s="148"/>
      <c r="E69" s="160">
        <f>I49-E64</f>
        <v>670988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2625360</v>
      </c>
      <c r="D70" s="29">
        <f t="shared" si="7"/>
        <v>0.63135771856050249</v>
      </c>
      <c r="E70" s="74">
        <f>E68-E69</f>
        <v>1657541.3000000007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09">
        <f>Data!C5</f>
        <v>45291</v>
      </c>
      <c r="D72" s="209"/>
      <c r="H72" s="50" t="s">
        <v>8</v>
      </c>
    </row>
    <row r="73" spans="1:9" ht="15" customHeight="1" x14ac:dyDescent="0.15">
      <c r="B73" s="12" t="str">
        <f>"(Numbers in "&amp;Data!E3&amp;Dashboard!G6&amp;")"</f>
        <v>(Numbers in 1000CNY)</v>
      </c>
      <c r="C73" s="208" t="s">
        <v>103</v>
      </c>
      <c r="D73" s="208"/>
      <c r="E73" s="210" t="s">
        <v>104</v>
      </c>
      <c r="F73" s="208"/>
    </row>
    <row r="74" spans="1:9" ht="15" customHeight="1" x14ac:dyDescent="0.15">
      <c r="B74" s="3" t="s">
        <v>136</v>
      </c>
      <c r="C74" s="95">
        <f>Data!C6</f>
        <v>867764</v>
      </c>
      <c r="D74" s="130"/>
      <c r="E74" s="149">
        <f>C74</f>
        <v>867764</v>
      </c>
      <c r="F74" s="130"/>
    </row>
    <row r="75" spans="1:9" ht="15" customHeight="1" x14ac:dyDescent="0.15">
      <c r="B75" s="117" t="s">
        <v>109</v>
      </c>
      <c r="C75" s="95">
        <f>Data!C8</f>
        <v>341249</v>
      </c>
      <c r="D75" s="131">
        <f>C75/$C$74</f>
        <v>0.39325092997635303</v>
      </c>
      <c r="E75" s="149">
        <f>D75*E74</f>
        <v>341249</v>
      </c>
      <c r="F75" s="150">
        <f>E75/$E$74</f>
        <v>0.39325092997635303</v>
      </c>
    </row>
    <row r="76" spans="1:9" ht="15" customHeight="1" x14ac:dyDescent="0.15">
      <c r="B76" s="35" t="s">
        <v>96</v>
      </c>
      <c r="C76" s="118">
        <f>C74-C75</f>
        <v>526515</v>
      </c>
      <c r="D76" s="132"/>
      <c r="E76" s="151">
        <f>E74-E75</f>
        <v>526515</v>
      </c>
      <c r="F76" s="132"/>
    </row>
    <row r="77" spans="1:9" ht="15" customHeight="1" x14ac:dyDescent="0.15">
      <c r="B77" s="117" t="s">
        <v>133</v>
      </c>
      <c r="C77" s="95">
        <f>Data!C10-Data!C12</f>
        <v>211098</v>
      </c>
      <c r="D77" s="131">
        <f>C77/$C$74</f>
        <v>0.24326660244029483</v>
      </c>
      <c r="E77" s="149">
        <f>D77*E74</f>
        <v>211098</v>
      </c>
      <c r="F77" s="150">
        <f>E77/$E$74</f>
        <v>0.24326660244029483</v>
      </c>
    </row>
    <row r="78" spans="1:9" ht="15" customHeight="1" x14ac:dyDescent="0.15">
      <c r="B78" s="35" t="s">
        <v>97</v>
      </c>
      <c r="C78" s="118">
        <f>C76-C77</f>
        <v>315417</v>
      </c>
      <c r="D78" s="132"/>
      <c r="E78" s="151">
        <f>E76-E77</f>
        <v>315417</v>
      </c>
      <c r="F78" s="132"/>
    </row>
    <row r="79" spans="1:9" ht="15" customHeight="1" x14ac:dyDescent="0.15">
      <c r="B79" s="117" t="s">
        <v>129</v>
      </c>
      <c r="C79" s="95">
        <f>Data!C17</f>
        <v>8305</v>
      </c>
      <c r="D79" s="131">
        <f>C79/$C$74</f>
        <v>9.5705744879944314E-3</v>
      </c>
      <c r="E79" s="149">
        <f>C79</f>
        <v>8305</v>
      </c>
      <c r="F79" s="150">
        <f>E79/$E$74</f>
        <v>9.5705744879944314E-3</v>
      </c>
    </row>
    <row r="80" spans="1:9" ht="15" customHeight="1" x14ac:dyDescent="0.15">
      <c r="B80" s="28" t="s">
        <v>135</v>
      </c>
      <c r="C80" s="95">
        <f>Data!C14+MAX(Data!C15,0)</f>
        <v>500138</v>
      </c>
      <c r="D80" s="131">
        <f>C80/$C$74</f>
        <v>0.57635255668591923</v>
      </c>
      <c r="E80" s="149">
        <f>C80</f>
        <v>500138</v>
      </c>
      <c r="F80" s="150">
        <f t="shared" ref="F80:F83" si="8">E80/$E$74</f>
        <v>0.57635255668591923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9">
        <v>0</v>
      </c>
      <c r="F81" s="150">
        <f t="shared" si="8"/>
        <v>0</v>
      </c>
      <c r="H81" s="125" t="s">
        <v>141</v>
      </c>
    </row>
    <row r="82" spans="1:8" ht="15" customHeight="1" x14ac:dyDescent="0.15">
      <c r="B82" s="79" t="s">
        <v>192</v>
      </c>
      <c r="C82" s="95">
        <f>MAX(Data!C18,0)</f>
        <v>2058</v>
      </c>
      <c r="D82" s="131">
        <f>C82/$C$74</f>
        <v>2.3716125582531654E-3</v>
      </c>
      <c r="E82" s="149">
        <f>C82</f>
        <v>2058</v>
      </c>
      <c r="F82" s="150">
        <f t="shared" si="8"/>
        <v>2.3716125582531654E-3</v>
      </c>
    </row>
    <row r="83" spans="1:8" ht="15" customHeight="1" thickBot="1" x14ac:dyDescent="0.2">
      <c r="B83" s="119" t="s">
        <v>134</v>
      </c>
      <c r="C83" s="100">
        <f>C78-C79-C80-C81-C82</f>
        <v>-195084</v>
      </c>
      <c r="D83" s="133">
        <f>C83/$C$74</f>
        <v>-0.22481227614881466</v>
      </c>
      <c r="E83" s="152">
        <f>E78-E79-E80-E81-E82</f>
        <v>-195084</v>
      </c>
      <c r="F83" s="135">
        <f t="shared" si="8"/>
        <v>-0.22481227614881466</v>
      </c>
    </row>
    <row r="84" spans="1:8" ht="15" customHeight="1" thickTop="1" x14ac:dyDescent="0.15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15">
      <c r="B85" s="93" t="s">
        <v>181</v>
      </c>
      <c r="C85" s="118">
        <f>C83*(1-F84)</f>
        <v>-146313</v>
      </c>
      <c r="D85" s="135">
        <f>C85/$C$74</f>
        <v>-0.16860920711161098</v>
      </c>
      <c r="E85" s="154">
        <f>E83*(1-F84)</f>
        <v>-146313</v>
      </c>
      <c r="F85" s="135">
        <f>E85/$E$74</f>
        <v>-0.16860920711161098</v>
      </c>
    </row>
    <row r="86" spans="1:8" ht="15" customHeight="1" x14ac:dyDescent="0.15">
      <c r="B86" s="94" t="s">
        <v>176</v>
      </c>
      <c r="C86" s="161">
        <f>C85*Data!E3/Common_Shares</f>
        <v>-6.4032397307676847E-2</v>
      </c>
      <c r="D86" s="130"/>
      <c r="E86" s="163">
        <f>E85*Data!E3/Common_Shares</f>
        <v>-6.4032397307676847E-2</v>
      </c>
      <c r="F86" s="130"/>
    </row>
    <row r="87" spans="1:8" ht="15" customHeight="1" x14ac:dyDescent="0.15">
      <c r="B87" s="93" t="s">
        <v>177</v>
      </c>
      <c r="C87" s="164">
        <v>0.1</v>
      </c>
      <c r="D87" s="135">
        <f>C87/C86</f>
        <v>-1.5617094502880811</v>
      </c>
      <c r="E87" s="162">
        <f>C87</f>
        <v>0.1</v>
      </c>
      <c r="F87" s="135">
        <f>E87/E86</f>
        <v>-1.5617094502880811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169</v>
      </c>
      <c r="C89" s="21"/>
      <c r="H89" s="50" t="s">
        <v>145</v>
      </c>
    </row>
    <row r="90" spans="1:8" ht="15" customHeight="1" x14ac:dyDescent="0.15">
      <c r="B90" s="10" t="s">
        <v>170</v>
      </c>
      <c r="D90" s="213" t="s">
        <v>171</v>
      </c>
      <c r="E90" s="213"/>
      <c r="G90" s="94"/>
    </row>
    <row r="91" spans="1:8" ht="15" customHeight="1" x14ac:dyDescent="0.15">
      <c r="B91" s="1" t="s">
        <v>196</v>
      </c>
      <c r="C91" s="174" t="s">
        <v>229</v>
      </c>
      <c r="D91" s="207" t="s">
        <v>172</v>
      </c>
      <c r="E91" s="207"/>
      <c r="F91" s="29">
        <f>E83/C68</f>
        <v>-5.9181858226133893E-2</v>
      </c>
      <c r="H91" s="187"/>
    </row>
    <row r="92" spans="1:8" ht="15" customHeight="1" x14ac:dyDescent="0.15">
      <c r="B92" s="1" t="str">
        <f>IF(C91="CN",Dashboard!B17,Dashboard!B12)</f>
        <v>Required Return (CN)</v>
      </c>
      <c r="C92" s="176">
        <f>IF(C91="CN",Dashboard!C17,IF(C91="US",Dashboard!C12,IF(C91="HK",Dashboard!D12,Dashboard!D17)))</f>
        <v>8.8000000000000009E-2</v>
      </c>
      <c r="D92" s="207" t="s">
        <v>168</v>
      </c>
      <c r="E92" s="207"/>
      <c r="F92" s="137">
        <v>0.02</v>
      </c>
      <c r="H92" s="187"/>
    </row>
    <row r="94" spans="1:8" ht="15" customHeight="1" x14ac:dyDescent="0.15">
      <c r="A94" s="5"/>
      <c r="B94" s="120" t="str">
        <f xml:space="preserve"> "Valuation in "&amp;Data!E3&amp;Dashboard!H3</f>
        <v>Valuation in 1000HKD</v>
      </c>
      <c r="D94" s="165" t="str">
        <f>Dashboard!H3</f>
        <v>HKD</v>
      </c>
    </row>
    <row r="95" spans="1:8" ht="15" customHeight="1" x14ac:dyDescent="0.15">
      <c r="B95" s="1" t="s">
        <v>140</v>
      </c>
      <c r="C95" s="102">
        <f>E85/(C92-F92)*Exchange_Rate</f>
        <v>-2338081.7407387146</v>
      </c>
      <c r="D95" s="155">
        <f>C95*Data!$E$3/Common_Shares</f>
        <v>-1.0232377092999669</v>
      </c>
    </row>
    <row r="96" spans="1:8" ht="15" customHeight="1" x14ac:dyDescent="0.15">
      <c r="B96" s="28" t="s">
        <v>157</v>
      </c>
      <c r="C96" s="102">
        <f>E82*Exchange_Rate</f>
        <v>2236.3051207065582</v>
      </c>
      <c r="D96" s="155">
        <f>C96*Data!$E$3/Common_Shares</f>
        <v>9.7869620601227889E-4</v>
      </c>
      <c r="E96" s="94"/>
      <c r="F96" s="138"/>
    </row>
    <row r="97" spans="2:6" ht="15" customHeight="1" thickBot="1" x14ac:dyDescent="0.2">
      <c r="B97" s="119" t="s">
        <v>158</v>
      </c>
      <c r="C97" s="123">
        <f>(E65+MIN(0,E70))*Exchange_Rate</f>
        <v>5336482.4675140558</v>
      </c>
      <c r="D97" s="156">
        <f>C97*Data!$E$3/Common_Shares</f>
        <v>2.3354573112800074</v>
      </c>
      <c r="E97" s="157" t="s">
        <v>143</v>
      </c>
      <c r="F97" s="158" t="s">
        <v>144</v>
      </c>
    </row>
    <row r="98" spans="2:6" ht="15" customHeight="1" thickTop="1" x14ac:dyDescent="0.15">
      <c r="B98" s="1" t="s">
        <v>119</v>
      </c>
      <c r="C98" s="102">
        <f>C95-C96+$C$97</f>
        <v>2996164.4216546346</v>
      </c>
      <c r="D98" s="124">
        <f>MAX(C98*Data!$E$3/Common_Shares,0)</f>
        <v>1.311240905774028</v>
      </c>
      <c r="E98" s="124">
        <f>D98*(1-25%)</f>
        <v>0.98343067933052097</v>
      </c>
      <c r="F98" s="124">
        <f>D98*1.25</f>
        <v>1.639051132217535</v>
      </c>
    </row>
    <row r="100" spans="2:6" ht="15" customHeight="1" x14ac:dyDescent="0.15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15">
      <c r="B101" s="1" t="s">
        <v>178</v>
      </c>
      <c r="C101" s="102">
        <f>D101*Common_Shares/Data!E3</f>
        <v>3651404.3500576569</v>
      </c>
      <c r="D101" s="155">
        <f>E87/(C92-F92)*Exchange_Rate</f>
        <v>1.5980000005048862</v>
      </c>
      <c r="E101" s="124">
        <f>D101*(1-25%)</f>
        <v>1.1985000003786648</v>
      </c>
      <c r="F101" s="124">
        <f>D101*1.25</f>
        <v>1.9975000006311077</v>
      </c>
    </row>
    <row r="103" spans="2:6" ht="15" customHeight="1" x14ac:dyDescent="0.15">
      <c r="B103" s="10" t="s">
        <v>224</v>
      </c>
      <c r="D103" s="197" t="str">
        <f>D100</f>
        <v>HKD</v>
      </c>
      <c r="E103" s="157" t="s">
        <v>143</v>
      </c>
      <c r="F103" s="158" t="s">
        <v>144</v>
      </c>
    </row>
    <row r="104" spans="2:6" ht="15" customHeight="1" x14ac:dyDescent="0.15">
      <c r="B104" s="1" t="s">
        <v>225</v>
      </c>
      <c r="C104" s="102">
        <f>D104*Common_Shares/Data!E3</f>
        <v>3323784.385856146</v>
      </c>
      <c r="D104" s="155">
        <f>(D98+D101)/2</f>
        <v>1.4546204531394571</v>
      </c>
      <c r="E104" s="124">
        <f>D104*(1-25%)</f>
        <v>1.0909653398545929</v>
      </c>
      <c r="F104" s="124">
        <f>D104*1.25</f>
        <v>1.8182755664243213</v>
      </c>
    </row>
    <row r="106" spans="2:6" ht="15" customHeight="1" x14ac:dyDescent="0.15">
      <c r="B106" s="10" t="s">
        <v>182</v>
      </c>
      <c r="C106" s="166" t="s">
        <v>230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6">
    <cfRule type="containsBlanks" dxfId="3" priority="2">
      <formula>LEN(TRIM(C106))=0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2024-11-08T16:27:39Z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