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6765ADA6-D273-425E-BC5B-B68E00179DF1}" xr6:coauthVersionLast="47" xr6:coauthVersionMax="47" xr10:uidLastSave="{00000000-0000-0000-0000-000000000000}"/>
  <bookViews>
    <workbookView xWindow="33720" yWindow="-120" windowWidth="29040" windowHeight="15720" activeTab="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99" i="3" l="1"/>
  <c r="C73" i="4" l="1"/>
  <c r="C72" i="4"/>
  <c r="C70" i="4"/>
  <c r="B47" i="4"/>
  <c r="C49" i="3"/>
  <c r="H56" i="2"/>
  <c r="I56" i="2"/>
  <c r="J56" i="2"/>
  <c r="K56" i="2"/>
  <c r="L56" i="2"/>
  <c r="M56" i="2"/>
  <c r="D4" i="3"/>
  <c r="D3" i="3"/>
  <c r="I49" i="3"/>
  <c r="C34" i="2"/>
  <c r="C56" i="2" s="1"/>
  <c r="C30" i="2"/>
  <c r="E34" i="2"/>
  <c r="F34" i="2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D27" i="2" l="1"/>
  <c r="F27" i="2"/>
  <c r="E27" i="2"/>
  <c r="G56" i="2"/>
  <c r="F56" i="2"/>
  <c r="E56" i="2"/>
  <c r="D56" i="2"/>
  <c r="I3" i="3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E93" i="4"/>
  <c r="F93" i="4"/>
  <c r="H77" i="3" s="1"/>
  <c r="F92" i="4"/>
  <c r="H75" i="3" s="1"/>
  <c r="E74" i="3"/>
  <c r="F97" i="4"/>
  <c r="H78" i="3" s="1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95" i="4" l="1"/>
  <c r="E82" i="3" s="1"/>
  <c r="E83" i="3" s="1"/>
  <c r="F95" i="4"/>
  <c r="H82" i="3" s="1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D52" i="3"/>
  <c r="C98" i="3"/>
  <c r="D6" i="3"/>
  <c r="D53" i="3"/>
  <c r="C57" i="2" l="1"/>
  <c r="D7" i="3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<sst xmlns="http://schemas.openxmlformats.org/spreadsheetml/2006/main" count="392" uniqueCount="275">
  <si>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</si>
  <si>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</si>
  <si>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</si>
  <si>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</si>
  <si>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</si>
  <si>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</si>
  <si>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</si>
  <si>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</si>
  <si>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</si>
  <si>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</si>
  <si>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</si>
  <si>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</si>
  <si>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</si>
  <si>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</si>
  <si>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</si>
  <si>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</si>
  <si>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</si>
  <si>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</si>
  <si>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</si>
  <si>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</si>
  <si>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</si>
  <si>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</si>
  <si>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</si>
  <si>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</si>
  <si>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</si>
  <si>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</si>
  <si>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</si>
  <si>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</si>
  <si>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</si>
  <si>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</si>
  <si>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</si>
  <si>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</si>
  <si>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</si>
  <si>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</si>
  <si>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</si>
  <si>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</si>
  <si>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</si>
  <si>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</si>
  <si>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</si>
  <si>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</si>
  <si>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</si>
  <si>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</si>
  <si>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</si>
  <si>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</si>
  <si>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</si>
  <si>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</si>
  <si>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</si>
  <si>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</si>
  <si>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</si>
  <si>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</si>
  <si>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</si>
  <si>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</si>
  <si>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</si>
  <si>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</si>
  <si>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</si>
  <si>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</si>
  <si>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</si>
  <si>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</si>
  <si>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</si>
  <si>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</si>
  <si>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</si>
  <si>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</si>
  <si>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</si>
  <si>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</si>
  <si>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</si>
  <si>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</si>
  <si>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</si>
  <si>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</si>
  <si>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</si>
  <si>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</si>
  <si>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</si>
  <si>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</si>
  <si>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</si>
  <si>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</si>
  <si>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</si>
  <si>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</si>
  <si>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</si>
  <si>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</si>
  <si>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</si>
  <si>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</si>
  <si>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</si>
  <si>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</si>
  <si>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</si>
  <si>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</si>
  <si>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</si>
  <si>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</si>
  <si>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</si>
  <si>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</si>
  <si>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</si>
  <si>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</si>
  <si>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</si>
  <si>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</si>
  <si>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</si>
  <si>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</si>
  <si>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</si>
  <si>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</si>
  <si>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</si>
  <si>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</si>
  <si>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</si>
  <si>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</si>
  <si>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</si>
  <si>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</si>
  <si>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</si>
  <si>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</si>
  <si>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</si>
  <si>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</si>
  <si>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</si>
  <si>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</si>
  <si>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</si>
  <si>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</si>
  <si>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</si>
  <si>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</si>
  <si>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</si>
  <si>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</si>
  <si>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</si>
  <si>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</si>
  <si>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</si>
  <si>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</si>
  <si>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</si>
  <si>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</si>
  <si>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</si>
  <si>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</si>
  <si>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</si>
  <si>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</si>
  <si>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</si>
  <si>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</si>
  <si>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</si>
  <si>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</si>
  <si>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</si>
  <si>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</si>
  <si>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</si>
  <si>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</si>
  <si>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</si>
  <si>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</si>
  <si>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</si>
  <si>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</si>
  <si>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</si>
  <si>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</si>
  <si>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</si>
  <si>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</si>
  <si>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</si>
  <si>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</si>
  <si>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</si>
  <si>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</si>
  <si>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</si>
  <si>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</si>
  <si>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</si>
  <si>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</si>
  <si>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</si>
  <si>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</si>
  <si>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</si>
  <si>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</si>
  <si>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</si>
  <si>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</si>
  <si>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</si>
  <si>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</si>
  <si>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</si>
  <si>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</si>
  <si>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</si>
  <si>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</si>
  <si>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</si>
  <si>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</si>
  <si>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</si>
  <si>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</si>
  <si>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</si>
  <si>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</si>
  <si>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</si>
  <si>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</si>
  <si>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</si>
  <si>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</si>
  <si>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</si>
  <si>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</si>
  <si>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</si>
  <si>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</si>
  <si>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</si>
  <si>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</si>
  <si>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</si>
  <si>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</si>
  <si>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</si>
  <si>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</si>
  <si>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</si>
  <si>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</si>
  <si>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</si>
  <si>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</si>
  <si>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</si>
  <si>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</si>
  <si>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</si>
  <si>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</si>
  <si>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</si>
  <si>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</si>
  <si>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</si>
  <si>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</si>
  <si>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</si>
  <si>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</si>
  <si>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</si>
  <si>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</si>
  <si>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</si>
  <si>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</si>
  <si>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</si>
  <si>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</si>
  <si>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</si>
  <si>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</si>
  <si>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</si>
  <si>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</si>
  <si>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</si>
  <si>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</si>
  <si>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</si>
  <si>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</si>
  <si>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</si>
  <si>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</si>
  <si>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</si>
  <si>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</si>
  <si>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</si>
  <si>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</si>
  <si>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</si>
  <si>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</si>
  <si>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</si>
  <si>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</si>
  <si>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</si>
  <si>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</si>
  <si>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</si>
  <si>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</si>
  <si>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</si>
  <si>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</si>
  <si>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</si>
  <si>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</si>
  <si>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</si>
  <si>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</si>
  <si>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</si>
  <si>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</si>
  <si>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</si>
  <si>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</si>
  <si>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</si>
  <si>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</si>
  <si>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</si>
  <si>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</si>
  <si>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</si>
  <si>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</si>
  <si>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</si>
  <si>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</si>
  <si>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</si>
  <si>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</si>
  <si>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</si>
  <si>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</si>
  <si>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</si>
  <si>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</si>
  <si>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</si>
  <si>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</si>
  <si>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</si>
  <si>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</si>
  <si>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</si>
  <si>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</si>
  <si>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</si>
  <si>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</si>
  <si>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</si>
  <si>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</si>
  <si>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</si>
  <si>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</si>
  <si>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</si>
  <si>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</si>
  <si>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</si>
  <si>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</si>
  <si>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</si>
  <si>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</si>
  <si>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</si>
  <si>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</si>
  <si>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</si>
  <si>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</si>
  <si>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</si>
  <si>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SIRI</t>
    <phoneticPr fontId="20" type="noConversion"/>
  </si>
  <si>
    <t>C0012</t>
    <phoneticPr fontId="20" type="noConversion"/>
  </si>
  <si>
    <t>USD</t>
    <phoneticPr fontId="20" type="noConversion"/>
  </si>
  <si>
    <t>SiriusXM</t>
    <phoneticPr fontId="20" type="noConversion"/>
  </si>
  <si>
    <t>Tier 3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</si>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</sst>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59" zoomScaleNormal="100" workbookViewId="0">
      <selection activeCell="F85" sqref="F85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269</v>
      </c>
    </row>
    <row r="5" spans="1:5" ht="13.9" x14ac:dyDescent="0.4">
      <c r="B5" s="139" t="s">
        <v>180</v>
      </c>
      <c r="C5" s="188" t="s">
        <v>272</v>
      </c>
    </row>
    <row r="6" spans="1:5" ht="13.9" x14ac:dyDescent="0.4">
      <c r="B6" s="139" t="s">
        <v>154</v>
      </c>
      <c r="C6" s="186">
        <v>45644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273</v>
      </c>
      <c r="E8" s="262"/>
    </row>
    <row r="9" spans="1:5" ht="13.9" x14ac:dyDescent="0.4">
      <c r="B9" s="138" t="s">
        <v>201</v>
      </c>
      <c r="C9" s="189" t="s">
        <v>270</v>
      </c>
    </row>
    <row r="10" spans="1:5" ht="13.9" x14ac:dyDescent="0.4">
      <c r="B10" s="138" t="s">
        <v>202</v>
      </c>
      <c r="C10" s="190">
        <v>339201984</v>
      </c>
    </row>
    <row r="11" spans="1:5" ht="13.9" x14ac:dyDescent="0.4">
      <c r="B11" s="138" t="s">
        <v>203</v>
      </c>
      <c r="C11" s="189" t="s">
        <v>271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274</v>
      </c>
    </row>
    <row r="16" spans="1:5" ht="13.9" x14ac:dyDescent="0.4">
      <c r="B16" s="217" t="s">
        <v>92</v>
      </c>
      <c r="C16" s="218">
        <v>0.25</v>
      </c>
      <c r="D16" s="24"/>
      <c r="E16" s="109" t="s">
        <v>268</v>
      </c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8817</v>
      </c>
      <c r="D25" s="147">
        <v>8853</v>
      </c>
      <c r="E25" s="147">
        <v>8545</v>
      </c>
      <c r="F25" s="147">
        <v>7885</v>
      </c>
      <c r="G25" s="147">
        <v>7629</v>
      </c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4568</v>
      </c>
      <c r="D26" s="148">
        <v>4482</v>
      </c>
      <c r="E26" s="148">
        <v>4293</v>
      </c>
      <c r="F26" s="148">
        <v>3941</v>
      </c>
      <c r="G26" s="148">
        <v>3854</v>
      </c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2028</v>
      </c>
      <c r="D27" s="148">
        <v>2100</v>
      </c>
      <c r="E27" s="148">
        <v>2035</v>
      </c>
      <c r="F27" s="148">
        <v>1862</v>
      </c>
      <c r="G27" s="148">
        <v>1731</v>
      </c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423</v>
      </c>
      <c r="D29" s="148">
        <v>422</v>
      </c>
      <c r="E29" s="148">
        <v>415</v>
      </c>
      <c r="F29" s="148">
        <v>394</v>
      </c>
      <c r="G29" s="148">
        <v>390</v>
      </c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0</v>
      </c>
      <c r="D30" s="148">
        <v>0</v>
      </c>
      <c r="E30" s="148">
        <v>0</v>
      </c>
      <c r="F30" s="148">
        <v>0</v>
      </c>
      <c r="G30" s="148">
        <v>0</v>
      </c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>
        <v>-134</v>
      </c>
      <c r="D31" s="148">
        <v>-188</v>
      </c>
      <c r="E31" s="148">
        <v>-280</v>
      </c>
      <c r="F31" s="148">
        <v>-126</v>
      </c>
      <c r="G31" s="148">
        <v>-28</v>
      </c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>
        <v>592</v>
      </c>
      <c r="D32" s="148">
        <v>585</v>
      </c>
      <c r="E32" s="148">
        <v>583</v>
      </c>
      <c r="F32" s="148">
        <v>562</v>
      </c>
      <c r="G32" s="148">
        <v>524</v>
      </c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>
        <v>692</v>
      </c>
      <c r="D33" s="148">
        <v>426</v>
      </c>
      <c r="E33" s="148">
        <v>388</v>
      </c>
      <c r="F33" s="148">
        <v>350</v>
      </c>
      <c r="G33" s="148">
        <v>363</v>
      </c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260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>
        <v>16624</v>
      </c>
      <c r="D37" s="148">
        <v>13373</v>
      </c>
      <c r="E37" s="148">
        <v>12899</v>
      </c>
      <c r="F37" s="148">
        <v>12618</v>
      </c>
      <c r="G37" s="148">
        <v>11885</v>
      </c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10859</v>
      </c>
      <c r="D41" s="148">
        <v>-3351</v>
      </c>
      <c r="E41" s="148">
        <v>-2625</v>
      </c>
      <c r="F41" s="148">
        <v>-2285</v>
      </c>
      <c r="G41" s="148">
        <v>-736</v>
      </c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0</v>
      </c>
      <c r="D42" s="148">
        <v>0</v>
      </c>
      <c r="E42" s="148">
        <v>0</v>
      </c>
      <c r="F42" s="148">
        <v>0</v>
      </c>
      <c r="G42" s="148">
        <v>0</v>
      </c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v>1.08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4.8343777976723366E-2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>
        <v>127</v>
      </c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>
        <v>668</v>
      </c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242</v>
      </c>
      <c r="C54" s="59">
        <v>314</v>
      </c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>
        <v>24</v>
      </c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241</v>
      </c>
      <c r="C64" s="59"/>
      <c r="D64" s="60">
        <v>0.4</v>
      </c>
      <c r="E64" s="111"/>
    </row>
    <row r="65" spans="2:5" ht="13.9" x14ac:dyDescent="0.4">
      <c r="B65" s="3" t="s">
        <v>65</v>
      </c>
      <c r="C65" s="59">
        <v>1079</v>
      </c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0.3</v>
      </c>
      <c r="E66" s="216" t="s">
        <v>66</v>
      </c>
    </row>
    <row r="67" spans="2:5" ht="13.9" x14ac:dyDescent="0.4">
      <c r="B67" s="1" t="s">
        <v>44</v>
      </c>
      <c r="C67" s="59"/>
      <c r="D67" s="60">
        <v>0.2</v>
      </c>
      <c r="E67" s="216" t="s">
        <v>41</v>
      </c>
    </row>
    <row r="68" spans="2:5" ht="13.9" x14ac:dyDescent="0.4">
      <c r="B68" s="3" t="s">
        <v>113</v>
      </c>
      <c r="C68" s="59">
        <v>2013</v>
      </c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>
        <f>8600+1610</f>
        <v>10210</v>
      </c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>
        <f>12390+658</f>
        <v>13048</v>
      </c>
      <c r="D72" s="243">
        <v>0</v>
      </c>
      <c r="E72" s="244"/>
    </row>
    <row r="73" spans="2:5" ht="13.9" x14ac:dyDescent="0.4">
      <c r="B73" s="3" t="s">
        <v>34</v>
      </c>
      <c r="C73" s="59">
        <f>77+589</f>
        <v>666</v>
      </c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>
        <v>3061</v>
      </c>
    </row>
    <row r="78" spans="2:5" ht="14.25" thickTop="1" x14ac:dyDescent="0.4">
      <c r="B78" s="3" t="s">
        <v>57</v>
      </c>
      <c r="C78" s="59">
        <v>10137</v>
      </c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263</v>
      </c>
      <c r="C82" s="212"/>
    </row>
    <row r="83" spans="2:8" ht="14.25" hidden="1" thickTop="1" x14ac:dyDescent="0.4">
      <c r="B83" s="73" t="s">
        <v>264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1.4999999999999999E-2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8817</v>
      </c>
      <c r="D91" s="204"/>
      <c r="E91" s="246">
        <f>C91</f>
        <v>8817</v>
      </c>
      <c r="F91" s="246">
        <f>C91</f>
        <v>8817</v>
      </c>
    </row>
    <row r="92" spans="2:8" ht="13.9" x14ac:dyDescent="0.4">
      <c r="B92" s="103" t="s">
        <v>101</v>
      </c>
      <c r="C92" s="77">
        <f>C26</f>
        <v>4568</v>
      </c>
      <c r="D92" s="156">
        <f>C92/C91</f>
        <v>0.51809005330611324</v>
      </c>
      <c r="E92" s="247">
        <f>E91*D92</f>
        <v>4568</v>
      </c>
      <c r="F92" s="247">
        <f>F91*D92</f>
        <v>4568</v>
      </c>
    </row>
    <row r="93" spans="2:8" ht="13.9" x14ac:dyDescent="0.4">
      <c r="B93" s="103" t="s">
        <v>229</v>
      </c>
      <c r="C93" s="77">
        <f>C27+C28</f>
        <v>2028</v>
      </c>
      <c r="D93" s="156">
        <f>C93/C91</f>
        <v>0.23001020755358967</v>
      </c>
      <c r="E93" s="247">
        <f>E91*D93</f>
        <v>2028</v>
      </c>
      <c r="F93" s="247">
        <f>F91*D93</f>
        <v>2028</v>
      </c>
    </row>
    <row r="94" spans="2:8" ht="13.9" x14ac:dyDescent="0.4">
      <c r="B94" s="103" t="s">
        <v>237</v>
      </c>
      <c r="C94" s="77">
        <f>C29</f>
        <v>423</v>
      </c>
      <c r="D94" s="156">
        <f>C94/C91</f>
        <v>4.7975501871384822E-2</v>
      </c>
      <c r="E94" s="248"/>
      <c r="F94" s="247">
        <f>F91*D94</f>
        <v>423</v>
      </c>
    </row>
    <row r="95" spans="2:8" ht="13.9" x14ac:dyDescent="0.4">
      <c r="B95" s="28" t="s">
        <v>228</v>
      </c>
      <c r="C95" s="77">
        <f>ABS(MAX(C33,0)-C32)</f>
        <v>100</v>
      </c>
      <c r="D95" s="156">
        <f>C95/C91</f>
        <v>1.1341726210729272E-2</v>
      </c>
      <c r="E95" s="247">
        <f>E91*D95</f>
        <v>100</v>
      </c>
      <c r="F95" s="247">
        <f>F91*D95</f>
        <v>100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192</v>
      </c>
      <c r="C98" s="232">
        <f>C44</f>
        <v>1.08</v>
      </c>
      <c r="D98" s="261"/>
      <c r="E98" s="249">
        <f>F98</f>
        <v>1.08</v>
      </c>
      <c r="F98" s="249">
        <f>C98</f>
        <v>1.08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G20" sqref="G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SIRI : SiriusXM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SIRI</v>
      </c>
      <c r="D3" s="291"/>
      <c r="E3" s="86"/>
      <c r="F3" s="3" t="s">
        <v>1</v>
      </c>
      <c r="G3" s="130">
        <v>22.34</v>
      </c>
      <c r="H3" s="132" t="s">
        <v>271</v>
      </c>
    </row>
    <row r="4" spans="1:10" ht="15.75" customHeight="1" x14ac:dyDescent="0.4">
      <c r="B4" s="35" t="s">
        <v>180</v>
      </c>
      <c r="C4" s="292" t="str">
        <f>Inputs!C5</f>
        <v>SiriusXM</v>
      </c>
      <c r="D4" s="293"/>
      <c r="E4" s="86"/>
      <c r="F4" s="3" t="s">
        <v>2</v>
      </c>
      <c r="G4" s="296">
        <f>Inputs!C10</f>
        <v>339201984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45644</v>
      </c>
      <c r="D5" s="295"/>
      <c r="E5" s="34"/>
      <c r="F5" s="35" t="s">
        <v>95</v>
      </c>
      <c r="G5" s="288">
        <f>G3*G4/1000000</f>
        <v>7577.7723225600002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USD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>Tier 3</v>
      </c>
      <c r="D7" s="184" t="str">
        <f>Inputs!C9</f>
        <v>C0012</v>
      </c>
      <c r="E7" s="86"/>
      <c r="F7" s="35" t="s">
        <v>5</v>
      </c>
      <c r="G7" s="131">
        <v>1</v>
      </c>
      <c r="H7" s="71" t="str">
        <f>IF(G6=Dashboard!H3,H3,G6&amp;"/"&amp;Dashboard!H3)</f>
        <v>USD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US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249</v>
      </c>
      <c r="C20" s="271">
        <f>C21*C22*C23</f>
        <v>0.20453080394143108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254</v>
      </c>
      <c r="C21" s="283">
        <f>Data!C13</f>
        <v>0.25189973914029717</v>
      </c>
      <c r="F21" s="86"/>
      <c r="G21" s="29"/>
    </row>
    <row r="22" spans="1:8" ht="15.75" customHeight="1" x14ac:dyDescent="0.4">
      <c r="B22" s="273" t="s">
        <v>261</v>
      </c>
      <c r="C22" s="274">
        <f>Data!C48</f>
        <v>0.32081650474838991</v>
      </c>
      <c r="F22" s="140" t="s">
        <v>170</v>
      </c>
    </row>
    <row r="23" spans="1:8" ht="15.75" customHeight="1" thickBot="1" x14ac:dyDescent="0.45">
      <c r="B23" s="275" t="s">
        <v>267</v>
      </c>
      <c r="C23" s="282">
        <f>1/Data!C53</f>
        <v>2.5308960309420758</v>
      </c>
      <c r="F23" s="138" t="s">
        <v>174</v>
      </c>
      <c r="G23" s="174">
        <f>G3/(Data!C34*Data!C4/Common_Shares*Exchange_Rate)</f>
        <v>0.69783334768947414</v>
      </c>
    </row>
    <row r="24" spans="1:8" ht="15.75" customHeight="1" x14ac:dyDescent="0.4">
      <c r="B24" s="280" t="s">
        <v>255</v>
      </c>
      <c r="C24" s="281">
        <f>Fin_Analysis!I81</f>
        <v>4.7975501871384822E-2</v>
      </c>
      <c r="F24" s="138" t="s">
        <v>240</v>
      </c>
      <c r="G24" s="263">
        <f>G3/(Fin_Analysis!H86*G7)</f>
        <v>5.950351254464076</v>
      </c>
    </row>
    <row r="25" spans="1:8" ht="15.75" customHeight="1" x14ac:dyDescent="0.4">
      <c r="B25" s="135" t="s">
        <v>256</v>
      </c>
      <c r="C25" s="168">
        <f>Fin_Analysis!I80</f>
        <v>0</v>
      </c>
      <c r="F25" s="138" t="s">
        <v>161</v>
      </c>
      <c r="G25" s="168">
        <f>Fin_Analysis!I88</f>
        <v>0.28766245992932865</v>
      </c>
    </row>
    <row r="26" spans="1:8" ht="15.75" customHeight="1" x14ac:dyDescent="0.4">
      <c r="B26" s="136" t="s">
        <v>257</v>
      </c>
      <c r="C26" s="168">
        <f>Fin_Analysis!I80+Fin_Analysis!I82</f>
        <v>1.1341726210729272E-2</v>
      </c>
      <c r="F26" s="139" t="s">
        <v>178</v>
      </c>
      <c r="G26" s="175">
        <f>Fin_Analysis!H88*Exchange_Rate/G3</f>
        <v>4.8343777976723366E-2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238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15.918079995772906</v>
      </c>
      <c r="D29" s="127">
        <f>G29*(1+G20)</f>
        <v>57.260103947545005</v>
      </c>
      <c r="E29" s="86"/>
      <c r="F29" s="129">
        <f>IF(Fin_Analysis!C108="Profit",Fin_Analysis!F100,IF(Fin_Analysis!C108="Dividend",Fin_Analysis!F103,Fin_Analysis!F106))</f>
        <v>19.291424062062323</v>
      </c>
      <c r="G29" s="287">
        <f>IF(Fin_Analysis!C108="Profit",Fin_Analysis!I100,IF(Fin_Analysis!C108="Dividend",Fin_Analysis!I103,Fin_Analysis!I106))</f>
        <v>49.791394736995663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" zoomScaleNormal="100" workbookViewId="0">
      <pane xSplit="2" topLeftCell="C1" activePane="topRight" state="frozen"/>
      <selection activeCell="A4" sqref="A4"/>
      <selection pane="topRight" activeCell="G13" sqref="G13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2221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USD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8817</v>
      </c>
      <c r="D6" s="197">
        <f>IF(Inputs!D25="","",Inputs!D25)</f>
        <v>8853</v>
      </c>
      <c r="E6" s="197">
        <f>IF(Inputs!E25="","",Inputs!E25)</f>
        <v>8545</v>
      </c>
      <c r="F6" s="197">
        <f>IF(Inputs!F25="","",Inputs!F25)</f>
        <v>7885</v>
      </c>
      <c r="G6" s="197">
        <f>IF(Inputs!G25="","",Inputs!G25)</f>
        <v>7629</v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-4.0664181633344176E-3</v>
      </c>
      <c r="D7" s="91">
        <f t="shared" si="1"/>
        <v>3.604447045055581E-2</v>
      </c>
      <c r="E7" s="91">
        <f t="shared" si="1"/>
        <v>8.3703233988585923E-2</v>
      </c>
      <c r="F7" s="91">
        <f t="shared" si="1"/>
        <v>3.3556167256521219E-2</v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4568</v>
      </c>
      <c r="D8" s="196">
        <f>IF(Inputs!D26="","",Inputs!D26)</f>
        <v>4482</v>
      </c>
      <c r="E8" s="196">
        <f>IF(Inputs!E26="","",Inputs!E26)</f>
        <v>4293</v>
      </c>
      <c r="F8" s="196">
        <f>IF(Inputs!F26="","",Inputs!F26)</f>
        <v>3941</v>
      </c>
      <c r="G8" s="196">
        <f>IF(Inputs!G26="","",Inputs!G26)</f>
        <v>3854</v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4249</v>
      </c>
      <c r="D9" s="149">
        <f t="shared" si="2"/>
        <v>4371</v>
      </c>
      <c r="E9" s="149">
        <f t="shared" si="2"/>
        <v>4252</v>
      </c>
      <c r="F9" s="149">
        <f t="shared" si="2"/>
        <v>3944</v>
      </c>
      <c r="G9" s="149">
        <f t="shared" si="2"/>
        <v>3775</v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2028</v>
      </c>
      <c r="D10" s="196">
        <f>IF(Inputs!D27="","",Inputs!D27)</f>
        <v>2100</v>
      </c>
      <c r="E10" s="196">
        <f>IF(Inputs!E27="","",Inputs!E27)</f>
        <v>2035</v>
      </c>
      <c r="F10" s="196">
        <f>IF(Inputs!F27="","",Inputs!F27)</f>
        <v>1862</v>
      </c>
      <c r="G10" s="196">
        <f>IF(Inputs!G27="","",Inputs!G27)</f>
        <v>1731</v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0</v>
      </c>
      <c r="D12" s="196">
        <f>IF(Inputs!D30="","",MAX(Inputs!D30,0)/(1-Fin_Analysis!$I$84))</f>
        <v>0</v>
      </c>
      <c r="E12" s="196">
        <f>IF(Inputs!E30="","",MAX(Inputs!E30,0)/(1-Fin_Analysis!$I$84))</f>
        <v>0</v>
      </c>
      <c r="F12" s="196">
        <f>IF(Inputs!F30="","",MAX(Inputs!F30,0)/(1-Fin_Analysis!$I$84))</f>
        <v>0</v>
      </c>
      <c r="G12" s="196">
        <f>IF(Inputs!G30="","",MAX(Inputs!G30,0)/(1-Fin_Analysis!$I$84))</f>
        <v>0</v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0.25189973914029717</v>
      </c>
      <c r="D13" s="224">
        <f t="shared" si="3"/>
        <v>0.25652321247034904</v>
      </c>
      <c r="E13" s="224">
        <f t="shared" si="3"/>
        <v>0.25944997074312465</v>
      </c>
      <c r="F13" s="224">
        <f t="shared" si="3"/>
        <v>0.26404565630944832</v>
      </c>
      <c r="G13" s="224">
        <f t="shared" si="3"/>
        <v>0.26792502293878623</v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2221</v>
      </c>
      <c r="D14" s="225">
        <f t="shared" ref="D14:M14" si="4">IF(D6="","",D9-D10-MAX(D11,0)-MAX(D12,0))</f>
        <v>2271</v>
      </c>
      <c r="E14" s="225">
        <f t="shared" si="4"/>
        <v>2217</v>
      </c>
      <c r="F14" s="225">
        <f t="shared" si="4"/>
        <v>2082</v>
      </c>
      <c r="G14" s="225">
        <f t="shared" si="4"/>
        <v>2044</v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-2.2016732716864818E-2</v>
      </c>
      <c r="D15" s="227">
        <f t="shared" ref="D15:M15" si="5">IF(E14="","",IF(ABS(D14+E14)=ABS(D14)+ABS(E14),IF(D14&lt;0,-1,1)*(D14-E14)/E14,"Turn"))</f>
        <v>2.4357239512855209E-2</v>
      </c>
      <c r="E15" s="227">
        <f t="shared" si="5"/>
        <v>6.4841498559077809E-2</v>
      </c>
      <c r="F15" s="227">
        <f t="shared" si="5"/>
        <v>1.8590998043052837E-2</v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>
        <f>IF(Inputs!C31="","",Inputs!C31)</f>
        <v>-134</v>
      </c>
      <c r="D16" s="196">
        <f>IF(Inputs!D31="","",Inputs!D31)</f>
        <v>-188</v>
      </c>
      <c r="E16" s="196">
        <f>IF(Inputs!E31="","",Inputs!E31)</f>
        <v>-280</v>
      </c>
      <c r="F16" s="196">
        <f>IF(Inputs!F31="","",Inputs!F31)</f>
        <v>-126</v>
      </c>
      <c r="G16" s="196">
        <f>IF(Inputs!G31="","",Inputs!G31)</f>
        <v>-28</v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423</v>
      </c>
      <c r="D17" s="196">
        <f>IF(Inputs!D29="","",Inputs!D29)</f>
        <v>422</v>
      </c>
      <c r="E17" s="196">
        <f>IF(Inputs!E29="","",Inputs!E29)</f>
        <v>415</v>
      </c>
      <c r="F17" s="196">
        <f>IF(Inputs!F29="","",Inputs!F29)</f>
        <v>394</v>
      </c>
      <c r="G17" s="196">
        <f>IF(Inputs!G29="","",Inputs!G29)</f>
        <v>390</v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>
        <f t="shared" ref="C18:M18" si="6">IF(OR(C6="",C19=""),"",C19/C6)</f>
        <v>6.714301916751729E-2</v>
      </c>
      <c r="D18" s="150">
        <f t="shared" si="6"/>
        <v>6.6079295154185022E-2</v>
      </c>
      <c r="E18" s="150">
        <f t="shared" si="6"/>
        <v>6.8227033352837918E-2</v>
      </c>
      <c r="F18" s="150">
        <f t="shared" si="6"/>
        <v>7.1274571972098924E-2</v>
      </c>
      <c r="G18" s="150">
        <f t="shared" si="6"/>
        <v>6.8685279853191769E-2</v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>
        <f>IF(Inputs!C32="","",Inputs!C32)</f>
        <v>592</v>
      </c>
      <c r="D19" s="196">
        <f>IF(Inputs!D32="","",Inputs!D32)</f>
        <v>585</v>
      </c>
      <c r="E19" s="196">
        <f>IF(Inputs!E32="","",Inputs!E32)</f>
        <v>583</v>
      </c>
      <c r="F19" s="196">
        <f>IF(Inputs!F32="","",Inputs!F32)</f>
        <v>562</v>
      </c>
      <c r="G19" s="196">
        <f>IF(Inputs!G32="","",Inputs!G32)</f>
        <v>524</v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7.8484745378246568E-2</v>
      </c>
      <c r="D20" s="150">
        <f t="shared" si="7"/>
        <v>4.811928159945781E-2</v>
      </c>
      <c r="E20" s="150">
        <f t="shared" si="7"/>
        <v>4.5406670567583379E-2</v>
      </c>
      <c r="F20" s="150">
        <f t="shared" si="7"/>
        <v>4.4388078630310718E-2</v>
      </c>
      <c r="G20" s="150">
        <f t="shared" si="7"/>
        <v>4.7581596539520252E-2</v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>
        <f>IF(Inputs!C33="","",Inputs!C33)</f>
        <v>692</v>
      </c>
      <c r="D21" s="196">
        <f>IF(Inputs!D33="","",Inputs!D33)</f>
        <v>426</v>
      </c>
      <c r="E21" s="196">
        <f>IF(Inputs!E33="","",Inputs!E33)</f>
        <v>388</v>
      </c>
      <c r="F21" s="196">
        <f>IF(Inputs!F33="","",Inputs!F33)</f>
        <v>350</v>
      </c>
      <c r="G21" s="196">
        <f>IF(Inputs!G33="","",Inputs!G33)</f>
        <v>363</v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1698</v>
      </c>
      <c r="D22" s="158">
        <f t="shared" ref="D22:M22" si="8">IF(D6="","",D14-MAX(D16,0)-MAX(D17,0)-ABS(MAX(D21,0)-MAX(D19,0)))</f>
        <v>1690</v>
      </c>
      <c r="E22" s="158">
        <f t="shared" si="8"/>
        <v>1607</v>
      </c>
      <c r="F22" s="158">
        <f t="shared" si="8"/>
        <v>1476</v>
      </c>
      <c r="G22" s="158">
        <f t="shared" si="8"/>
        <v>1493</v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0.1444368832936373</v>
      </c>
      <c r="D23" s="151">
        <f t="shared" si="9"/>
        <v>0.14317180616740088</v>
      </c>
      <c r="E23" s="151">
        <f t="shared" si="9"/>
        <v>0.14104739613809245</v>
      </c>
      <c r="F23" s="151">
        <f t="shared" si="9"/>
        <v>0.14039315155358276</v>
      </c>
      <c r="G23" s="151">
        <f t="shared" si="9"/>
        <v>0.14677546205269368</v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1273.5</v>
      </c>
      <c r="D24" s="77">
        <f>IF(D6="","",D22*(1-Fin_Analysis!$I$84))</f>
        <v>1267.5</v>
      </c>
      <c r="E24" s="77">
        <f>IF(E6="","",E22*(1-Fin_Analysis!$I$84))</f>
        <v>1205.25</v>
      </c>
      <c r="F24" s="77">
        <f>IF(F6="","",F22*(1-Fin_Analysis!$I$84))</f>
        <v>1107</v>
      </c>
      <c r="G24" s="77">
        <f>IF(G6="","",G22*(1-Fin_Analysis!$I$84))</f>
        <v>1119.75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4.7337278106508876E-3</v>
      </c>
      <c r="D25" s="228">
        <f t="shared" ref="D25:M25" si="10">IF(E24="","",IF(ABS(D24+E24)=ABS(D24)+ABS(E24),IF(D24&lt;0,-1,1)*(D24-E24)/E24,"Turn"))</f>
        <v>5.164903546981954E-2</v>
      </c>
      <c r="E25" s="228">
        <f t="shared" si="10"/>
        <v>8.8753387533875336E-2</v>
      </c>
      <c r="F25" s="228">
        <f t="shared" si="10"/>
        <v>-1.1386470194239785E-2</v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27483</v>
      </c>
      <c r="D27" s="65">
        <f>IF(D34="","",D34+D30)</f>
        <v>10022</v>
      </c>
      <c r="E27" s="65">
        <f t="shared" ref="E27:M27" si="20">IF(E34="","",E34+E30)</f>
        <v>10274</v>
      </c>
      <c r="F27" s="65">
        <f t="shared" si="20"/>
        <v>10333</v>
      </c>
      <c r="G27" s="65">
        <f t="shared" si="20"/>
        <v>11149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668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16624</v>
      </c>
      <c r="D30" s="196">
        <f>IF(Inputs!D37="","",Inputs!D37)</f>
        <v>13373</v>
      </c>
      <c r="E30" s="196">
        <f>IF(Inputs!E37="","",Inputs!E37)</f>
        <v>12899</v>
      </c>
      <c r="F30" s="196">
        <f>IF(Inputs!F37="","",Inputs!F37)</f>
        <v>12618</v>
      </c>
      <c r="G30" s="196">
        <f>IF(Inputs!G37="","",Inputs!G37)</f>
        <v>11885</v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666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10137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10803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10859</v>
      </c>
      <c r="D34" s="196">
        <f>IF(Inputs!D41="","",Inputs!D41)</f>
        <v>-3351</v>
      </c>
      <c r="E34" s="196">
        <f>IF(Inputs!E41="","",Inputs!E41)</f>
        <v>-2625</v>
      </c>
      <c r="F34" s="196">
        <f>IF(Inputs!F41="","",Inputs!F41)</f>
        <v>-2285</v>
      </c>
      <c r="G34" s="196">
        <f>IF(Inputs!G41="","",Inputs!G41)</f>
        <v>-736</v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>
        <f>IF(Inputs!D42="","",Inputs!D42)</f>
        <v>0</v>
      </c>
      <c r="E35" s="196">
        <f>IF(Inputs!E42="","",Inputs!E42)</f>
        <v>0</v>
      </c>
      <c r="F35" s="196">
        <f>IF(Inputs!F42="","",Inputs!F42)</f>
        <v>0</v>
      </c>
      <c r="G35" s="196">
        <f>IF(Inputs!G42="","",Inputs!G42)</f>
        <v>0</v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26277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8.4522586292194696E-2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0.51809005330611324</v>
      </c>
      <c r="D40" s="154">
        <f t="shared" si="34"/>
        <v>0.5062690613351406</v>
      </c>
      <c r="E40" s="154">
        <f t="shared" si="34"/>
        <v>0.50239906377998833</v>
      </c>
      <c r="F40" s="154">
        <f t="shared" si="34"/>
        <v>0.49980976537729865</v>
      </c>
      <c r="G40" s="154">
        <f t="shared" si="34"/>
        <v>0.50517761174465858</v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0.23001020755358967</v>
      </c>
      <c r="D41" s="151">
        <f t="shared" si="35"/>
        <v>0.23720772619451033</v>
      </c>
      <c r="E41" s="151">
        <f t="shared" si="35"/>
        <v>0.23815096547688708</v>
      </c>
      <c r="F41" s="151">
        <f t="shared" si="35"/>
        <v>0.236144578313253</v>
      </c>
      <c r="G41" s="151">
        <f t="shared" si="35"/>
        <v>0.22689736531655524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4.7975501871384822E-2</v>
      </c>
      <c r="D43" s="151">
        <f t="shared" si="37"/>
        <v>4.7667457359087312E-2</v>
      </c>
      <c r="E43" s="151">
        <f t="shared" si="37"/>
        <v>4.8566413107080167E-2</v>
      </c>
      <c r="F43" s="151">
        <f t="shared" si="37"/>
        <v>4.9968294229549778E-2</v>
      </c>
      <c r="G43" s="151">
        <f t="shared" si="37"/>
        <v>5.1120723554856466E-2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>
        <f t="shared" si="38"/>
        <v>0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1.1341726210729272E-2</v>
      </c>
      <c r="D45" s="151">
        <f t="shared" si="39"/>
        <v>1.7960013554727212E-2</v>
      </c>
      <c r="E45" s="151">
        <f t="shared" si="39"/>
        <v>2.2820362785254535E-2</v>
      </c>
      <c r="F45" s="151">
        <f t="shared" si="39"/>
        <v>2.6886493341788206E-2</v>
      </c>
      <c r="G45" s="151">
        <f t="shared" si="39"/>
        <v>2.1103683313671517E-2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0.19258251105818305</v>
      </c>
      <c r="D46" s="151">
        <f t="shared" si="40"/>
        <v>0.19089574155653452</v>
      </c>
      <c r="E46" s="151">
        <f t="shared" si="40"/>
        <v>0.18806319485078993</v>
      </c>
      <c r="F46" s="151">
        <f t="shared" si="40"/>
        <v>0.18719086873811033</v>
      </c>
      <c r="G46" s="151">
        <f t="shared" si="40"/>
        <v>0.19570061607025824</v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6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>
        <f t="shared" ref="C48:M48" si="41">IF(C6="","",C6/C27)</f>
        <v>0.32081650474838991</v>
      </c>
      <c r="D48" s="267">
        <f t="shared" si="41"/>
        <v>0.88335661544601873</v>
      </c>
      <c r="E48" s="267">
        <f t="shared" si="41"/>
        <v>0.83171111543702547</v>
      </c>
      <c r="F48" s="267">
        <f t="shared" si="41"/>
        <v>0.76308913190748084</v>
      </c>
      <c r="G48" s="267">
        <f t="shared" si="41"/>
        <v>0.68427661673692708</v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7.576273108767155E-2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>
        <f t="shared" ref="C51:M51" si="44">IF(D6="","",C16/(C6-D6))</f>
        <v>3.7222222222222223</v>
      </c>
      <c r="D51" s="151">
        <f t="shared" si="44"/>
        <v>-0.61038961038961037</v>
      </c>
      <c r="E51" s="151">
        <f t="shared" si="44"/>
        <v>-0.42424242424242425</v>
      </c>
      <c r="F51" s="151">
        <f t="shared" si="44"/>
        <v>-0.4921875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>
        <f t="shared" ref="C53:M53" si="45">IF(C34="","",(C34-C35)/C27)</f>
        <v>0.39511698140668777</v>
      </c>
      <c r="D53" s="154">
        <f t="shared" si="45"/>
        <v>-0.33436439832368786</v>
      </c>
      <c r="E53" s="154">
        <f t="shared" si="45"/>
        <v>-0.25549931866848358</v>
      </c>
      <c r="F53" s="154">
        <f t="shared" si="45"/>
        <v>-0.22113616568276395</v>
      </c>
      <c r="G53" s="154">
        <f t="shared" si="45"/>
        <v>-6.6014889227733423E-2</v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>
        <f t="shared" ref="C54:M54" si="46">IF(OR(C22="",C33=""),"",IF(C33&lt;=0,"-",C22/C33))</f>
        <v>0.15717856151069148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0.24911660777385158</v>
      </c>
      <c r="D55" s="151">
        <f t="shared" si="47"/>
        <v>0.24970414201183433</v>
      </c>
      <c r="E55" s="151">
        <f t="shared" si="47"/>
        <v>0.25824517734909769</v>
      </c>
      <c r="F55" s="151">
        <f t="shared" si="47"/>
        <v>0.26693766937669378</v>
      </c>
      <c r="G55" s="151">
        <f t="shared" si="47"/>
        <v>0.26121902210314801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>
        <f>IF(G34="","",IF(Inputs!G38=0,0,Inputs!G38/G27))</f>
        <v>0</v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>
        <f t="shared" ref="C58:M58" si="49">IF(C14="","",C14/(C34-C35))</f>
        <v>0.20453080394143108</v>
      </c>
      <c r="D58" s="269">
        <f t="shared" si="49"/>
        <v>-0.67770814682184422</v>
      </c>
      <c r="E58" s="269">
        <f t="shared" si="49"/>
        <v>-0.84457142857142853</v>
      </c>
      <c r="F58" s="269">
        <f t="shared" si="49"/>
        <v>-0.91115973741794309</v>
      </c>
      <c r="G58" s="269">
        <f t="shared" si="49"/>
        <v>-2.777173913043478</v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>
        <f t="shared" ref="C59:M59" si="50">IF(C22="","",C22/(C34-C35))</f>
        <v>0.15636798968597476</v>
      </c>
      <c r="D59" s="269">
        <f t="shared" si="50"/>
        <v>-0.50432706654729931</v>
      </c>
      <c r="E59" s="269">
        <f t="shared" si="50"/>
        <v>-0.61219047619047617</v>
      </c>
      <c r="F59" s="269">
        <f t="shared" si="50"/>
        <v>-0.64595185995623627</v>
      </c>
      <c r="G59" s="269">
        <f t="shared" si="50"/>
        <v>-2.0285326086956523</v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abSelected="1" topLeftCell="A77" zoomScaleNormal="100" workbookViewId="0">
      <selection activeCell="D100" sqref="D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10859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10859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>
        <f>C28/I28</f>
        <v>0.37014047696831098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6"/>
      <c r="D6" s="69">
        <f>(E49-I49-E53)</f>
        <v>-15256.6</v>
      </c>
      <c r="E6" s="56">
        <f>1-D6/D3</f>
        <v>2.404972833594254</v>
      </c>
      <c r="F6" s="86"/>
      <c r="G6" s="86"/>
      <c r="H6" s="1" t="s">
        <v>25</v>
      </c>
      <c r="I6" s="63">
        <f>(C24+C25)/I28</f>
        <v>0.36229990199281281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USD</v>
      </c>
      <c r="C7" s="86"/>
      <c r="D7" s="66">
        <f>MAX((D6*Exchange_Rate*Data!C4)/Common_Shares, 0)</f>
        <v>0</v>
      </c>
      <c r="E7" s="11" t="str">
        <f>Dashboard!H3</f>
        <v>USD</v>
      </c>
      <c r="H7" s="1" t="s">
        <v>26</v>
      </c>
      <c r="I7" s="63">
        <f>C24/I28</f>
        <v>0.25971904606337798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127</v>
      </c>
      <c r="D11" s="195">
        <f>Inputs!D48</f>
        <v>0.9</v>
      </c>
      <c r="E11" s="87">
        <f t="shared" ref="E11:E22" si="0">C11*D11</f>
        <v>114.3</v>
      </c>
      <c r="F11" s="111"/>
      <c r="G11" s="86"/>
      <c r="H11" s="3" t="s">
        <v>34</v>
      </c>
      <c r="I11" s="40">
        <f>Inputs!C73</f>
        <v>666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668</v>
      </c>
      <c r="D13" s="195">
        <f>Inputs!D50</f>
        <v>0.6</v>
      </c>
      <c r="E13" s="87">
        <f t="shared" si="0"/>
        <v>400.8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666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314</v>
      </c>
      <c r="D17" s="195">
        <f>Inputs!D54</f>
        <v>0.1</v>
      </c>
      <c r="E17" s="87">
        <f t="shared" si="0"/>
        <v>31.400000000000002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24</v>
      </c>
      <c r="D22" s="195">
        <f>Inputs!D59</f>
        <v>0.05</v>
      </c>
      <c r="E22" s="87">
        <f t="shared" si="0"/>
        <v>1.2000000000000002</v>
      </c>
      <c r="F22" s="111"/>
      <c r="G22" s="86"/>
      <c r="H22" s="3" t="s">
        <v>40</v>
      </c>
      <c r="I22" s="52">
        <f>I28-SUM(I11:I14)</f>
        <v>2395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795</v>
      </c>
      <c r="D24" s="62">
        <f>IF(E24=0,0,E24/C24)</f>
        <v>0.64792452830188685</v>
      </c>
      <c r="E24" s="87">
        <f>SUM(E11:E14)</f>
        <v>515.1</v>
      </c>
      <c r="F24" s="112">
        <f>E24/$E$28</f>
        <v>0.9404783640679204</v>
      </c>
      <c r="G24" s="86"/>
    </row>
    <row r="25" spans="2:10" ht="15" customHeight="1" x14ac:dyDescent="0.4">
      <c r="B25" s="23" t="s">
        <v>50</v>
      </c>
      <c r="C25" s="61">
        <f>SUM(C15:C17)</f>
        <v>314</v>
      </c>
      <c r="D25" s="62">
        <f>IF(E25=0,0,E25/C25)</f>
        <v>0.1</v>
      </c>
      <c r="E25" s="87">
        <f>SUM(E15:E17)</f>
        <v>31.400000000000002</v>
      </c>
      <c r="F25" s="112">
        <f>E25/$E$28</f>
        <v>5.733065546832207E-2</v>
      </c>
      <c r="G25" s="86"/>
      <c r="H25" s="23" t="s">
        <v>51</v>
      </c>
      <c r="I25" s="63">
        <f>E28/I28</f>
        <v>0.17892845475334859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>
        <f>E26/$E$28</f>
        <v>0</v>
      </c>
      <c r="G26" s="86"/>
      <c r="H26" s="23" t="s">
        <v>53</v>
      </c>
      <c r="I26" s="63">
        <f>E24/($I$28-I22)</f>
        <v>0.77342342342342341</v>
      </c>
      <c r="J26" s="8" t="str">
        <f>IF(I26&lt;1,"Liquidity Problem!","")</f>
        <v>Liquidity Problem!</v>
      </c>
    </row>
    <row r="27" spans="2:10" ht="15" customHeight="1" x14ac:dyDescent="0.4">
      <c r="B27" s="23" t="s">
        <v>54</v>
      </c>
      <c r="C27" s="77">
        <f>C21+C22</f>
        <v>24</v>
      </c>
      <c r="D27" s="62">
        <f>IF(E27=0,0,E27/C27)</f>
        <v>5.000000000000001E-2</v>
      </c>
      <c r="E27" s="87">
        <f>E21+E22</f>
        <v>1.2000000000000002</v>
      </c>
      <c r="F27" s="112">
        <f>E27/$E$28</f>
        <v>2.1909804637575314E-3</v>
      </c>
      <c r="G27" s="86"/>
      <c r="H27" s="23" t="s">
        <v>55</v>
      </c>
      <c r="I27" s="63">
        <f>(E25+E24)/$I$28</f>
        <v>0.17853642600457367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1133</v>
      </c>
      <c r="D28" s="57">
        <f>E28/C28</f>
        <v>0.48340688437775819</v>
      </c>
      <c r="E28" s="70">
        <f>SUM(E24:E27)</f>
        <v>547.70000000000005</v>
      </c>
      <c r="F28" s="111"/>
      <c r="G28" s="86"/>
      <c r="H28" s="78" t="s">
        <v>15</v>
      </c>
      <c r="I28" s="202">
        <f>Inputs!C77</f>
        <v>3061</v>
      </c>
      <c r="J28" s="32">
        <f>IF(J26="",1,0)+IF(J27="",1,0)+IF(J46="",1,0)+IF(J47="",1,0)</f>
        <v>0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10137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10137</v>
      </c>
      <c r="J34" s="86"/>
    </row>
    <row r="35" spans="2:10" ht="13.9" x14ac:dyDescent="0.4">
      <c r="B35" s="3" t="s">
        <v>65</v>
      </c>
      <c r="C35" s="40">
        <f>Inputs!C65</f>
        <v>1079</v>
      </c>
      <c r="D35" s="195">
        <f>Inputs!D65</f>
        <v>0.1</v>
      </c>
      <c r="E35" s="87">
        <f t="shared" si="1"/>
        <v>107.9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0.3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0.2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2013</v>
      </c>
      <c r="D38" s="195">
        <f>Inputs!D68</f>
        <v>0.1</v>
      </c>
      <c r="E38" s="87">
        <f t="shared" si="1"/>
        <v>201.3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10210</v>
      </c>
      <c r="D40" s="195">
        <f>Inputs!D70</f>
        <v>0.05</v>
      </c>
      <c r="E40" s="87">
        <f t="shared" si="1"/>
        <v>510.5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13048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3426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1079</v>
      </c>
      <c r="D45" s="62">
        <f>IF(E45=0,0,E45/C45)</f>
        <v>0.1</v>
      </c>
      <c r="E45" s="87">
        <f>SUM(E32:E35)</f>
        <v>107.9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2013</v>
      </c>
      <c r="D46" s="62">
        <f>IF(E46=0,0,E46/C46)</f>
        <v>0.1</v>
      </c>
      <c r="E46" s="87">
        <f>E36+E37+E38+E39</f>
        <v>201.3</v>
      </c>
      <c r="F46" s="86"/>
      <c r="G46" s="86"/>
      <c r="H46" s="23" t="s">
        <v>76</v>
      </c>
      <c r="I46" s="63">
        <f>(E44+E24)/E64</f>
        <v>4.7681199666759239E-2</v>
      </c>
      <c r="J46" s="8" t="str">
        <f>IF(I46&lt;1,"Liquidity Problem!","")</f>
        <v>Liquidity Problem!</v>
      </c>
    </row>
    <row r="47" spans="2:10" ht="15" customHeight="1" x14ac:dyDescent="0.4">
      <c r="B47" s="23" t="s">
        <v>77</v>
      </c>
      <c r="C47" s="61">
        <f>C40+C41+C42</f>
        <v>23258</v>
      </c>
      <c r="D47" s="62">
        <f>IF(E47=0,0,E47/C47)</f>
        <v>2.1949436752945223E-2</v>
      </c>
      <c r="E47" s="87">
        <f>E40+E41+E42</f>
        <v>510.5</v>
      </c>
      <c r="F47" s="86"/>
      <c r="G47" s="86"/>
      <c r="H47" s="23" t="s">
        <v>78</v>
      </c>
      <c r="I47" s="63">
        <f>(E44+E45+E24+E25)/$I$49</f>
        <v>3.9364773820981712E-2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79</v>
      </c>
      <c r="C48" s="279">
        <f>SUM(C30:C42)</f>
        <v>26350</v>
      </c>
      <c r="D48" s="81">
        <f>E48/C48</f>
        <v>3.1108159392789377E-2</v>
      </c>
      <c r="E48" s="76">
        <f>SUM(E30:E42)</f>
        <v>819.7</v>
      </c>
      <c r="F48" s="86"/>
      <c r="G48" s="86"/>
      <c r="H48" s="80" t="s">
        <v>80</v>
      </c>
      <c r="I48" s="277">
        <f>I49-I28</f>
        <v>13563</v>
      </c>
      <c r="J48" s="8"/>
    </row>
    <row r="49" spans="2:11" ht="15" customHeight="1" thickTop="1" x14ac:dyDescent="0.4">
      <c r="B49" s="3" t="s">
        <v>13</v>
      </c>
      <c r="C49" s="61">
        <f>Inputs!C41+Inputs!C37</f>
        <v>27483</v>
      </c>
      <c r="D49" s="56">
        <f>E49/C49</f>
        <v>4.9754393625150099E-2</v>
      </c>
      <c r="E49" s="87">
        <f>E28+E48</f>
        <v>1367.4</v>
      </c>
      <c r="F49" s="86"/>
      <c r="G49" s="86"/>
      <c r="H49" s="3" t="s">
        <v>81</v>
      </c>
      <c r="I49" s="40">
        <f>Inputs!C37</f>
        <v>16624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10803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1079</v>
      </c>
      <c r="D61" s="56">
        <f t="shared" ref="D61:D70" si="2">IF(E61=0,0,E61/C61)</f>
        <v>0.1</v>
      </c>
      <c r="E61" s="52">
        <f>E14+E15+(E19*G19)+(E20*G20)+E31+E32+(E35*G35)+(E36*G36)+(E37*G37)</f>
        <v>107.9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127</v>
      </c>
      <c r="D62" s="106">
        <f t="shared" si="2"/>
        <v>0.9</v>
      </c>
      <c r="E62" s="116">
        <f>E11+E30</f>
        <v>114.3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1206</v>
      </c>
      <c r="D63" s="29">
        <f t="shared" si="2"/>
        <v>0.18424543946932007</v>
      </c>
      <c r="E63" s="61">
        <f>E61+E62</f>
        <v>222.2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10803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-9597</v>
      </c>
      <c r="D65" s="29">
        <f t="shared" si="2"/>
        <v>1.1025112014171095</v>
      </c>
      <c r="E65" s="61">
        <f>E63-E64</f>
        <v>-10580.8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26277</v>
      </c>
      <c r="D68" s="29">
        <f t="shared" si="2"/>
        <v>4.3581839631617006E-2</v>
      </c>
      <c r="E68" s="68">
        <f>E49-E63</f>
        <v>1145.2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5821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20456</v>
      </c>
      <c r="D70" s="29">
        <f t="shared" si="2"/>
        <v>-0.228578412201799</v>
      </c>
      <c r="E70" s="68">
        <f>E68-E69</f>
        <v>-4675.8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8817</v>
      </c>
      <c r="D74" s="204"/>
      <c r="E74" s="233">
        <f>Inputs!E91</f>
        <v>8817</v>
      </c>
      <c r="F74" s="204"/>
      <c r="H74" s="233">
        <f>Inputs!F91</f>
        <v>8817</v>
      </c>
      <c r="I74" s="204"/>
      <c r="K74" s="24"/>
    </row>
    <row r="75" spans="1:11" ht="15" customHeight="1" x14ac:dyDescent="0.4">
      <c r="B75" s="103" t="s">
        <v>101</v>
      </c>
      <c r="C75" s="77">
        <f>Data!C8</f>
        <v>4568</v>
      </c>
      <c r="D75" s="156">
        <f>C75/$C$74</f>
        <v>0.51809005330611324</v>
      </c>
      <c r="E75" s="233">
        <f>Inputs!E92</f>
        <v>4568</v>
      </c>
      <c r="F75" s="157">
        <f>E75/E74</f>
        <v>0.51809005330611324</v>
      </c>
      <c r="H75" s="233">
        <f>Inputs!F92</f>
        <v>4568</v>
      </c>
      <c r="I75" s="157">
        <f>H75/$H$74</f>
        <v>0.51809005330611324</v>
      </c>
      <c r="K75" s="24"/>
    </row>
    <row r="76" spans="1:11" ht="15" customHeight="1" x14ac:dyDescent="0.4">
      <c r="B76" s="35" t="s">
        <v>91</v>
      </c>
      <c r="C76" s="158">
        <f>C74-C75</f>
        <v>4249</v>
      </c>
      <c r="D76" s="205"/>
      <c r="E76" s="159">
        <f>E74-E75</f>
        <v>4249</v>
      </c>
      <c r="F76" s="205"/>
      <c r="H76" s="159">
        <f>H74-H75</f>
        <v>4249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2028</v>
      </c>
      <c r="D77" s="156">
        <f>C77/$C$74</f>
        <v>0.23001020755358967</v>
      </c>
      <c r="E77" s="233">
        <f>Inputs!E93</f>
        <v>2028</v>
      </c>
      <c r="F77" s="157">
        <f>E77/E74</f>
        <v>0.23001020755358967</v>
      </c>
      <c r="H77" s="233">
        <f>Inputs!F93</f>
        <v>2028</v>
      </c>
      <c r="I77" s="157">
        <f>H77/$H$74</f>
        <v>0.23001020755358967</v>
      </c>
      <c r="K77" s="24"/>
    </row>
    <row r="78" spans="1:11" ht="15" customHeight="1" x14ac:dyDescent="0.4">
      <c r="B78" s="73" t="s">
        <v>160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216</v>
      </c>
      <c r="C79" s="252">
        <f>C76-C77-C78</f>
        <v>2221</v>
      </c>
      <c r="D79" s="253">
        <f>C79/C74</f>
        <v>0.25189973914029717</v>
      </c>
      <c r="E79" s="254">
        <f>E76-E77-E78</f>
        <v>2221</v>
      </c>
      <c r="F79" s="253">
        <f>E79/E74</f>
        <v>0.25189973914029717</v>
      </c>
      <c r="G79" s="255"/>
      <c r="H79" s="254">
        <f>H76-H77-H78</f>
        <v>2221</v>
      </c>
      <c r="I79" s="253">
        <f>H79/H74</f>
        <v>0.25189973914029717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423</v>
      </c>
      <c r="D81" s="156">
        <f>C81/$C$74</f>
        <v>4.7975501871384822E-2</v>
      </c>
      <c r="E81" s="177">
        <f>E74*F81</f>
        <v>423</v>
      </c>
      <c r="F81" s="157">
        <f>I81</f>
        <v>4.7975501871384822E-2</v>
      </c>
      <c r="H81" s="233">
        <f>Inputs!F94</f>
        <v>423</v>
      </c>
      <c r="I81" s="157">
        <f>H81/$H$74</f>
        <v>4.7975501871384822E-2</v>
      </c>
      <c r="K81" s="24"/>
    </row>
    <row r="82" spans="1:11" ht="15" customHeight="1" x14ac:dyDescent="0.4">
      <c r="B82" s="28" t="s">
        <v>228</v>
      </c>
      <c r="C82" s="77">
        <f>ABS(MAX(Data!C21,0)-MAX(Data!C19,0))</f>
        <v>100</v>
      </c>
      <c r="D82" s="156">
        <f>C82/$C$74</f>
        <v>1.1341726210729272E-2</v>
      </c>
      <c r="E82" s="233">
        <f>Inputs!E95</f>
        <v>100</v>
      </c>
      <c r="F82" s="157">
        <f>E82/E74</f>
        <v>1.1341726210729272E-2</v>
      </c>
      <c r="H82" s="233">
        <f>Inputs!F95</f>
        <v>100</v>
      </c>
      <c r="I82" s="157">
        <f>H82/$H$74</f>
        <v>1.1341726210729272E-2</v>
      </c>
      <c r="K82" s="24"/>
    </row>
    <row r="83" spans="1:11" ht="15" customHeight="1" thickBot="1" x14ac:dyDescent="0.45">
      <c r="B83" s="104" t="s">
        <v>119</v>
      </c>
      <c r="C83" s="160">
        <f>C79-C81-C82-C80</f>
        <v>1698</v>
      </c>
      <c r="D83" s="161">
        <f>C83/$C$74</f>
        <v>0.19258251105818305</v>
      </c>
      <c r="E83" s="162">
        <f>E79-E81-E82-E80</f>
        <v>1698</v>
      </c>
      <c r="F83" s="161">
        <f>E83/E74</f>
        <v>0.19258251105818305</v>
      </c>
      <c r="H83" s="162">
        <f>H79-H81-H82-H80</f>
        <v>1698</v>
      </c>
      <c r="I83" s="161">
        <f>H83/$H$74</f>
        <v>0.19258251105818305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1273.5</v>
      </c>
      <c r="D85" s="253">
        <f>C85/$C$74</f>
        <v>0.1444368832936373</v>
      </c>
      <c r="E85" s="259">
        <f>E83*(1-F84)</f>
        <v>1273.5</v>
      </c>
      <c r="F85" s="253">
        <f>E85/E74</f>
        <v>0.1444368832936373</v>
      </c>
      <c r="G85" s="255"/>
      <c r="H85" s="259">
        <f>H83*(1-I84)</f>
        <v>1273.5</v>
      </c>
      <c r="I85" s="253">
        <f>H85/$H$74</f>
        <v>0.1444368832936373</v>
      </c>
      <c r="K85" s="24"/>
    </row>
    <row r="86" spans="1:11" ht="15" customHeight="1" x14ac:dyDescent="0.4">
      <c r="B86" s="86" t="s">
        <v>151</v>
      </c>
      <c r="C86" s="164">
        <f>C85*Data!C4/Common_Shares</f>
        <v>3.7544002101119784</v>
      </c>
      <c r="D86" s="204"/>
      <c r="E86" s="165">
        <f>E85*Data!C4/Common_Shares</f>
        <v>3.7544002101119784</v>
      </c>
      <c r="F86" s="204"/>
      <c r="H86" s="165">
        <f>H85*Data!C4/Common_Shares</f>
        <v>3.7544002101119784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0.16805730573464542</v>
      </c>
      <c r="D87" s="204"/>
      <c r="E87" s="257">
        <f>E86*Exchange_Rate/Dashboard!G3</f>
        <v>0.16805730573464542</v>
      </c>
      <c r="F87" s="204"/>
      <c r="H87" s="257">
        <f>H86*Exchange_Rate/Dashboard!G3</f>
        <v>0.16805730573464542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1.08</v>
      </c>
      <c r="D88" s="163">
        <f>C88/C86</f>
        <v>0.28766245992932865</v>
      </c>
      <c r="E88" s="167">
        <f>Inputs!E98</f>
        <v>1.08</v>
      </c>
      <c r="F88" s="163">
        <f>E88/E86</f>
        <v>0.28766245992932865</v>
      </c>
      <c r="H88" s="167">
        <f>Inputs!F98</f>
        <v>1.08</v>
      </c>
      <c r="I88" s="163">
        <f>H88/H86</f>
        <v>0.28766245992932865</v>
      </c>
      <c r="K88" s="24"/>
    </row>
    <row r="89" spans="1:11" ht="15" customHeight="1" x14ac:dyDescent="0.4">
      <c r="B89" s="86" t="s">
        <v>205</v>
      </c>
      <c r="C89" s="256">
        <f>C88*Exchange_Rate/Dashboard!G3</f>
        <v>4.8343777976723366E-2</v>
      </c>
      <c r="D89" s="204"/>
      <c r="E89" s="256">
        <f>E88*Exchange_Rate/Dashboard!G3</f>
        <v>4.8343777976723366E-2</v>
      </c>
      <c r="F89" s="204"/>
      <c r="H89" s="256">
        <f>H88*Exchange_Rate/Dashboard!G3</f>
        <v>4.8343777976723366E-2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USD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US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US Discount Rate</v>
      </c>
      <c r="C93" s="134">
        <f>IF(C92="CN",Dashboard!C17,IF(C92="US",Dashboard!C12,IF(C92="HK",Dashboard!D12,Dashboard!D17)))</f>
        <v>7.4999999999999997E-2</v>
      </c>
      <c r="D93" s="234">
        <f>Inputs!C86</f>
        <v>5</v>
      </c>
      <c r="E93" s="86" t="s">
        <v>194</v>
      </c>
      <c r="F93" s="142">
        <f>FV(E87,D93,0,-(E86/(C93-D94)))*Exchange_Rate</f>
        <v>136.05360872653728</v>
      </c>
      <c r="H93" s="86" t="s">
        <v>194</v>
      </c>
      <c r="I93" s="142">
        <f>FV(H87,D93,0,-(H86/(C93-D94)))*Exchange_Rate</f>
        <v>136.05360872653728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1.4999999999999999E-2</v>
      </c>
      <c r="E94" s="86" t="s">
        <v>195</v>
      </c>
      <c r="F94" s="142">
        <f>FV(E89,D93,0,-(E88/(C93-D94)))*Exchange_Rate</f>
        <v>22.792455464907704</v>
      </c>
      <c r="H94" s="86" t="s">
        <v>195</v>
      </c>
      <c r="I94" s="142">
        <f>FV(H89,D93,0,-(H88/(C93-D94)))*Exchange_Rate</f>
        <v>22.792455464907704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USD</v>
      </c>
      <c r="C96" s="125" t="str">
        <f>Dashboard!H3</f>
        <v>USD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22944.534316036876</v>
      </c>
      <c r="D97" s="208"/>
      <c r="E97" s="121">
        <f>PV(C94,D93,0,-F93)</f>
        <v>67.642689012210724</v>
      </c>
      <c r="F97" s="208"/>
      <c r="H97" s="121">
        <f>PV(C94,D93,0,-I93)</f>
        <v>67.642689012210724</v>
      </c>
      <c r="I97" s="121">
        <f>PV(C93,D93,0,-I93)</f>
        <v>94.769315620854641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(E65+IF(E70&lt;0,E70,0))*Exchange_Rate</f>
        <v>-15256.599999999999</v>
      </c>
      <c r="D99" s="209"/>
      <c r="E99" s="143">
        <f>IF(H99&gt;0,H99*(1-C94),H99*(1+C94))</f>
        <v>-51.724609016437817</v>
      </c>
      <c r="F99" s="209"/>
      <c r="H99" s="143">
        <f>C99*Data!$C$4/Common_Shares</f>
        <v>-44.977920883858978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7687.9343160368771</v>
      </c>
      <c r="D100" s="108">
        <f>MIN(F100*(1-C94),E100)</f>
        <v>15.918079995772906</v>
      </c>
      <c r="E100" s="108">
        <f>MAX(E97+H98+E99,0)</f>
        <v>15.918079995772906</v>
      </c>
      <c r="F100" s="108">
        <f>(E100+H100)/2</f>
        <v>19.291424062062323</v>
      </c>
      <c r="H100" s="108">
        <f>MAX(C100*Data!$C$4/Common_Shares,0)</f>
        <v>22.664768128351739</v>
      </c>
      <c r="I100" s="108">
        <f>MAX(I97+H98+H99,0)</f>
        <v>49.791394736995663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USD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3843.7957027104808</v>
      </c>
      <c r="D103" s="108">
        <f>MIN(F103*(1-C94),E103)</f>
        <v>9.6320968078533067</v>
      </c>
      <c r="E103" s="121">
        <f>PV(C94,D93,0,-F94)</f>
        <v>11.331878597474478</v>
      </c>
      <c r="F103" s="108">
        <f>(E103+H103)/2</f>
        <v>11.331878597474478</v>
      </c>
      <c r="H103" s="121">
        <f>PV(C94,D93,0,-I94)</f>
        <v>11.331878597474478</v>
      </c>
      <c r="I103" s="108">
        <f>PV(C93,D93,0,-I94)</f>
        <v>15.876281606537042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USD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4621.6200093736807</v>
      </c>
      <c r="D106" s="108">
        <f>(D100+D103)/2</f>
        <v>12.775088401813107</v>
      </c>
      <c r="E106" s="121">
        <f>(E100+E103)/2</f>
        <v>13.624979296623692</v>
      </c>
      <c r="F106" s="108">
        <f>(F100+F103)/2</f>
        <v>15.3116513297684</v>
      </c>
      <c r="H106" s="121">
        <f>(H100+H103)/2</f>
        <v>16.998323362913109</v>
      </c>
      <c r="I106" s="121">
        <f>(I100+I103)/2</f>
        <v>32.833838171766352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2024-12-19T02:19:35Z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