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71559CA5-A72A-D44F-BBC6-DBEB12A3AD66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9" i="3" l="1"/>
  <c r="C73" i="4" l="1"/>
  <c r="C72" i="4"/>
  <c r="C70" i="4"/>
  <c r="B47" i="4"/>
  <c r="C49" i="3"/>
  <c r="H56" i="2"/>
  <c r="I56" i="2"/>
  <c r="J56" i="2"/>
  <c r="K56" i="2"/>
  <c r="L56" i="2"/>
  <c r="M56" i="2"/>
  <c r="D4" i="3"/>
  <c r="D3" i="3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D27" i="2" l="1"/>
  <c r="F27" i="2"/>
  <c r="E27" i="2"/>
  <c r="G56" i="2"/>
  <c r="F56" i="2"/>
  <c r="E56" i="2"/>
  <c r="D56" i="2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<sst xmlns="http://schemas.openxmlformats.org/spreadsheetml/2006/main" count="392" uniqueCount="275">
  <si>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</si>
  <si>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</si>
  <si>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</si>
  <si>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</si>
  <si>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</si>
  <si>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</si>
  <si>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</si>
  <si>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</si>
  <si>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</si>
  <si>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</si>
  <si>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</si>
  <si>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</si>
  <si>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</si>
  <si>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</si>
  <si>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</si>
  <si>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</si>
  <si>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</si>
  <si>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</si>
  <si>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</si>
  <si>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</si>
  <si>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</si>
  <si>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</si>
  <si>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</si>
  <si>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</si>
  <si>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</si>
  <si>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</si>
  <si>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</si>
  <si>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</si>
  <si>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</si>
  <si>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</si>
  <si>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</si>
  <si>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</si>
  <si>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</si>
  <si>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</si>
  <si>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</si>
  <si>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</si>
  <si>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</si>
  <si>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</si>
  <si>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</si>
  <si>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</si>
  <si>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</si>
  <si>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</si>
  <si>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</si>
  <si>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</si>
  <si>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</si>
  <si>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</si>
  <si>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</si>
  <si>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</si>
  <si>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</si>
  <si>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</si>
  <si>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</si>
  <si>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</si>
  <si>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</si>
  <si>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</si>
  <si>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</si>
  <si>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</si>
  <si>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</si>
  <si>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</si>
  <si>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</si>
  <si>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</si>
  <si>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</si>
  <si>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</si>
  <si>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</si>
  <si>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</si>
  <si>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</si>
  <si>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</si>
  <si>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</si>
  <si>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</si>
  <si>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</si>
  <si>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</si>
  <si>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</si>
  <si>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</si>
  <si>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</si>
  <si>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</si>
  <si>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</si>
  <si>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</si>
  <si>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</si>
  <si>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</si>
  <si>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</si>
  <si>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</si>
  <si>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</si>
  <si>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</si>
  <si>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</si>
  <si>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</si>
  <si>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</si>
  <si>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</si>
  <si>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</si>
  <si>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</si>
  <si>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</si>
  <si>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</si>
  <si>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</si>
  <si>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</si>
  <si>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</si>
  <si>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</si>
  <si>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</si>
  <si>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</si>
  <si>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</si>
  <si>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</si>
  <si>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</si>
  <si>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</si>
  <si>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</si>
  <si>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</si>
  <si>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</si>
  <si>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</si>
  <si>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</si>
  <si>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</si>
  <si>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</si>
  <si>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</si>
  <si>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</si>
  <si>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</si>
  <si>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</si>
  <si>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</si>
  <si>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</si>
  <si>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</si>
  <si>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</si>
  <si>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</si>
  <si>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</si>
  <si>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</si>
  <si>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</si>
  <si>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</si>
  <si>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</si>
  <si>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</si>
  <si>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</si>
  <si>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</si>
  <si>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</si>
  <si>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</si>
  <si>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</si>
  <si>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</si>
  <si>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</si>
  <si>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</si>
  <si>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</si>
  <si>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</si>
  <si>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</si>
  <si>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</si>
  <si>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</si>
  <si>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</si>
  <si>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</si>
  <si>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</si>
  <si>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</si>
  <si>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</si>
  <si>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</si>
  <si>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</si>
  <si>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</si>
  <si>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</si>
  <si>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</si>
  <si>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</si>
  <si>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</si>
  <si>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</si>
  <si>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</si>
  <si>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</si>
  <si>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</si>
  <si>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</si>
  <si>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</si>
  <si>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</si>
  <si>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</si>
  <si>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</si>
  <si>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</si>
  <si>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</si>
  <si>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</si>
  <si>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</si>
  <si>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</si>
  <si>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</si>
  <si>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</si>
  <si>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</si>
  <si>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</si>
  <si>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</si>
  <si>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</si>
  <si>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</si>
  <si>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</si>
  <si>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</si>
  <si>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</si>
  <si>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</si>
  <si>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</si>
  <si>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</si>
  <si>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</si>
  <si>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</si>
  <si>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</si>
  <si>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</si>
  <si>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</si>
  <si>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</si>
  <si>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</si>
  <si>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</si>
  <si>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</si>
  <si>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</si>
  <si>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</si>
  <si>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</si>
  <si>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</si>
  <si>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</si>
  <si>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</si>
  <si>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</si>
  <si>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</si>
  <si>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</si>
  <si>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</si>
  <si>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</si>
  <si>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</si>
  <si>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</si>
  <si>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</si>
  <si>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</si>
  <si>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</si>
  <si>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</si>
  <si>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</si>
  <si>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</si>
  <si>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</si>
  <si>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</si>
  <si>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</si>
  <si>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</si>
  <si>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</si>
  <si>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</si>
  <si>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</si>
  <si>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</si>
  <si>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</si>
  <si>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</si>
  <si>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</si>
  <si>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</si>
  <si>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</si>
  <si>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</si>
  <si>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</si>
  <si>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</si>
  <si>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</si>
  <si>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</si>
  <si>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</si>
  <si>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</si>
  <si>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</si>
  <si>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</si>
  <si>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</si>
  <si>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</si>
  <si>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</si>
  <si>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</si>
  <si>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</si>
  <si>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</si>
  <si>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</si>
  <si>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</si>
  <si>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</si>
  <si>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</si>
  <si>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</si>
  <si>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</si>
  <si>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</si>
  <si>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</si>
  <si>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</si>
  <si>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</si>
  <si>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</si>
  <si>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</si>
  <si>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</si>
  <si>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</si>
  <si>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</si>
  <si>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</si>
  <si>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</si>
  <si>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</si>
  <si>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</si>
  <si>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</si>
  <si>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</si>
  <si>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</si>
  <si>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</si>
  <si>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</si>
  <si>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</si>
  <si>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</si>
  <si>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</si>
  <si>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</si>
  <si>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</si>
  <si>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</si>
  <si>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</si>
  <si>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</si>
  <si>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</si>
  <si>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</si>
  <si>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</si>
  <si>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</si>
  <si>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</si>
  <si>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</si>
  <si>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</si>
  <si>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SIRI</t>
    <phoneticPr fontId="20" type="noConversion"/>
  </si>
  <si>
    <t>C0012</t>
    <phoneticPr fontId="20" type="noConversion"/>
  </si>
  <si>
    <t>USD</t>
    <phoneticPr fontId="20" type="noConversion"/>
  </si>
  <si>
    <t>SiriusXM</t>
    <phoneticPr fontId="20" type="noConversion"/>
  </si>
  <si>
    <t>Tier 3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</si>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</sst>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8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8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68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5" sqref="C15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199</v>
      </c>
    </row>
    <row r="4" spans="1:5" ht="14" x14ac:dyDescent="0.15">
      <c r="B4" s="139" t="s">
        <v>179</v>
      </c>
      <c r="C4" s="185" t="s">
        <v>269</v>
      </c>
    </row>
    <row r="5" spans="1:5" ht="14" x14ac:dyDescent="0.15">
      <c r="B5" s="139" t="s">
        <v>180</v>
      </c>
      <c r="C5" s="188" t="s">
        <v>272</v>
      </c>
    </row>
    <row r="6" spans="1:5" ht="14" x14ac:dyDescent="0.15">
      <c r="B6" s="139" t="s">
        <v>154</v>
      </c>
      <c r="C6" s="186">
        <v>45644</v>
      </c>
    </row>
    <row r="7" spans="1:5" ht="14" x14ac:dyDescent="0.15">
      <c r="B7" s="138" t="s">
        <v>3</v>
      </c>
      <c r="C7" s="187">
        <v>8</v>
      </c>
    </row>
    <row r="8" spans="1:5" ht="14" x14ac:dyDescent="0.15">
      <c r="B8" s="138" t="s">
        <v>200</v>
      </c>
      <c r="C8" s="188" t="s">
        <v>273</v>
      </c>
      <c r="E8" s="262"/>
    </row>
    <row r="9" spans="1:5" ht="14" x14ac:dyDescent="0.15">
      <c r="B9" s="138" t="s">
        <v>201</v>
      </c>
      <c r="C9" s="189" t="s">
        <v>270</v>
      </c>
    </row>
    <row r="10" spans="1:5" ht="14" x14ac:dyDescent="0.15">
      <c r="B10" s="138" t="s">
        <v>202</v>
      </c>
      <c r="C10" s="190">
        <v>339201984</v>
      </c>
    </row>
    <row r="11" spans="1:5" ht="14" x14ac:dyDescent="0.15">
      <c r="B11" s="138" t="s">
        <v>203</v>
      </c>
      <c r="C11" s="189" t="s">
        <v>271</v>
      </c>
    </row>
    <row r="12" spans="1:5" ht="14" x14ac:dyDescent="0.15">
      <c r="B12" s="213" t="s">
        <v>9</v>
      </c>
      <c r="C12" s="214">
        <v>45291</v>
      </c>
    </row>
    <row r="13" spans="1:5" ht="14" x14ac:dyDescent="0.15">
      <c r="B13" s="213" t="s">
        <v>10</v>
      </c>
      <c r="C13" s="215">
        <v>1000000</v>
      </c>
    </row>
    <row r="14" spans="1:5" ht="14" x14ac:dyDescent="0.15">
      <c r="B14" s="213" t="s">
        <v>204</v>
      </c>
      <c r="C14" s="214">
        <v>45473</v>
      </c>
    </row>
    <row r="15" spans="1:5" ht="14" x14ac:dyDescent="0.15">
      <c r="B15" s="213" t="s">
        <v>236</v>
      </c>
      <c r="C15" s="173" t="s">
        <v>274</v>
      </c>
    </row>
    <row r="16" spans="1:5" ht="14" x14ac:dyDescent="0.15">
      <c r="B16" s="217" t="s">
        <v>92</v>
      </c>
      <c r="C16" s="218">
        <v>0.25</v>
      </c>
      <c r="D16" s="24"/>
      <c r="E16" s="109" t="s">
        <v>268</v>
      </c>
    </row>
    <row r="17" spans="2:13" ht="14" x14ac:dyDescent="0.15">
      <c r="B17" s="235" t="s">
        <v>208</v>
      </c>
      <c r="C17" s="237" t="s">
        <v>227</v>
      </c>
      <c r="D17" s="24"/>
    </row>
    <row r="18" spans="2:13" ht="14" x14ac:dyDescent="0.15">
      <c r="B18" s="235" t="s">
        <v>222</v>
      </c>
      <c r="C18" s="237" t="s">
        <v>227</v>
      </c>
      <c r="D18" s="24"/>
    </row>
    <row r="19" spans="2:13" ht="14" x14ac:dyDescent="0.15">
      <c r="B19" s="235" t="s">
        <v>223</v>
      </c>
      <c r="C19" s="237" t="s">
        <v>227</v>
      </c>
      <c r="D19" s="24"/>
    </row>
    <row r="20" spans="2:13" ht="14" x14ac:dyDescent="0.15">
      <c r="B20" s="236" t="s">
        <v>212</v>
      </c>
      <c r="C20" s="237" t="s">
        <v>227</v>
      </c>
      <c r="D20" s="24"/>
    </row>
    <row r="21" spans="2:13" ht="14" x14ac:dyDescent="0.15">
      <c r="B21" s="219" t="s">
        <v>215</v>
      </c>
      <c r="C21" s="237" t="s">
        <v>227</v>
      </c>
      <c r="D21" s="24"/>
    </row>
    <row r="22" spans="2:13" ht="84" x14ac:dyDescent="0.15">
      <c r="B22" s="221" t="s">
        <v>214</v>
      </c>
      <c r="C22" s="238" t="s">
        <v>239</v>
      </c>
      <c r="D22" s="24"/>
    </row>
    <row r="24" spans="2:13" ht="15" x14ac:dyDescent="0.15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3" t="s">
        <v>11</v>
      </c>
      <c r="C25" s="147">
        <v>8817</v>
      </c>
      <c r="D25" s="147">
        <v>8853</v>
      </c>
      <c r="E25" s="147">
        <v>8545</v>
      </c>
      <c r="F25" s="147">
        <v>7885</v>
      </c>
      <c r="G25" s="147">
        <v>7629</v>
      </c>
      <c r="H25" s="147"/>
      <c r="I25" s="147"/>
      <c r="J25" s="147"/>
      <c r="K25" s="147"/>
      <c r="L25" s="147"/>
      <c r="M25" s="147"/>
    </row>
    <row r="26" spans="2:13" ht="15" x14ac:dyDescent="0.15">
      <c r="B26" s="96" t="s">
        <v>101</v>
      </c>
      <c r="C26" s="148">
        <v>4568</v>
      </c>
      <c r="D26" s="148">
        <v>4482</v>
      </c>
      <c r="E26" s="148">
        <v>4293</v>
      </c>
      <c r="F26" s="148">
        <v>3941</v>
      </c>
      <c r="G26" s="148">
        <v>3854</v>
      </c>
      <c r="H26" s="148"/>
      <c r="I26" s="148"/>
      <c r="J26" s="148"/>
      <c r="K26" s="148"/>
      <c r="L26" s="148"/>
      <c r="M26" s="148"/>
    </row>
    <row r="27" spans="2:13" ht="15" x14ac:dyDescent="0.15">
      <c r="B27" s="96" t="s">
        <v>99</v>
      </c>
      <c r="C27" s="148">
        <v>2028</v>
      </c>
      <c r="D27" s="148">
        <v>2100</v>
      </c>
      <c r="E27" s="148">
        <v>2035</v>
      </c>
      <c r="F27" s="148">
        <v>1862</v>
      </c>
      <c r="G27" s="148">
        <v>1731</v>
      </c>
      <c r="H27" s="148"/>
      <c r="I27" s="148"/>
      <c r="J27" s="148"/>
      <c r="K27" s="148"/>
      <c r="L27" s="148"/>
      <c r="M27" s="148"/>
    </row>
    <row r="28" spans="2:13" ht="15" x14ac:dyDescent="0.15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5" x14ac:dyDescent="0.15">
      <c r="B29" s="96" t="s">
        <v>237</v>
      </c>
      <c r="C29" s="148">
        <v>423</v>
      </c>
      <c r="D29" s="148">
        <v>422</v>
      </c>
      <c r="E29" s="148">
        <v>415</v>
      </c>
      <c r="F29" s="148">
        <v>394</v>
      </c>
      <c r="G29" s="148">
        <v>390</v>
      </c>
      <c r="H29" s="148"/>
      <c r="I29" s="148"/>
      <c r="J29" s="148"/>
      <c r="K29" s="148"/>
      <c r="L29" s="148"/>
      <c r="M29" s="148"/>
    </row>
    <row r="30" spans="2:13" ht="14" x14ac:dyDescent="0.15">
      <c r="B30" s="98" t="s">
        <v>106</v>
      </c>
      <c r="C30" s="148">
        <v>0</v>
      </c>
      <c r="D30" s="148">
        <v>0</v>
      </c>
      <c r="E30" s="148">
        <v>0</v>
      </c>
      <c r="F30" s="148">
        <v>0</v>
      </c>
      <c r="G30" s="148">
        <v>0</v>
      </c>
      <c r="H30" s="148"/>
      <c r="I30" s="148"/>
      <c r="J30" s="148"/>
      <c r="K30" s="148"/>
      <c r="L30" s="148"/>
      <c r="M30" s="148"/>
    </row>
    <row r="31" spans="2:13" ht="15" x14ac:dyDescent="0.15">
      <c r="B31" s="96" t="s">
        <v>105</v>
      </c>
      <c r="C31" s="148">
        <v>-134</v>
      </c>
      <c r="D31" s="148">
        <v>-188</v>
      </c>
      <c r="E31" s="148">
        <v>-280</v>
      </c>
      <c r="F31" s="148">
        <v>-126</v>
      </c>
      <c r="G31" s="148">
        <v>-28</v>
      </c>
      <c r="H31" s="148"/>
      <c r="I31" s="148"/>
      <c r="J31" s="148"/>
      <c r="K31" s="148"/>
      <c r="L31" s="148"/>
      <c r="M31" s="148"/>
    </row>
    <row r="32" spans="2:13" ht="15" x14ac:dyDescent="0.15">
      <c r="B32" s="96" t="s">
        <v>100</v>
      </c>
      <c r="C32" s="148">
        <v>592</v>
      </c>
      <c r="D32" s="148">
        <v>585</v>
      </c>
      <c r="E32" s="148">
        <v>583</v>
      </c>
      <c r="F32" s="148">
        <v>562</v>
      </c>
      <c r="G32" s="148">
        <v>524</v>
      </c>
      <c r="H32" s="148"/>
      <c r="I32" s="148"/>
      <c r="J32" s="148"/>
      <c r="K32" s="148"/>
      <c r="L32" s="148"/>
      <c r="M32" s="148"/>
    </row>
    <row r="33" spans="2:13" ht="15" x14ac:dyDescent="0.15">
      <c r="B33" s="96" t="s">
        <v>103</v>
      </c>
      <c r="C33" s="148">
        <v>692</v>
      </c>
      <c r="D33" s="148">
        <v>426</v>
      </c>
      <c r="E33" s="148">
        <v>388</v>
      </c>
      <c r="F33" s="148">
        <v>350</v>
      </c>
      <c r="G33" s="148">
        <v>363</v>
      </c>
      <c r="H33" s="148"/>
      <c r="I33" s="148"/>
      <c r="J33" s="148"/>
      <c r="K33" s="148"/>
      <c r="L33" s="148"/>
      <c r="M33" s="148"/>
    </row>
    <row r="34" spans="2:13" ht="15" hidden="1" x14ac:dyDescent="0.15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5" x14ac:dyDescent="0.15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5" x14ac:dyDescent="0.15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 x14ac:dyDescent="0.15">
      <c r="B37" s="93" t="s">
        <v>259</v>
      </c>
      <c r="C37" s="148">
        <v>16624</v>
      </c>
      <c r="D37" s="148">
        <v>13373</v>
      </c>
      <c r="E37" s="148">
        <v>12899</v>
      </c>
      <c r="F37" s="148">
        <v>12618</v>
      </c>
      <c r="G37" s="148">
        <v>11885</v>
      </c>
      <c r="H37" s="148"/>
      <c r="I37" s="148"/>
      <c r="J37" s="148"/>
      <c r="K37" s="148"/>
      <c r="L37" s="148"/>
      <c r="M37" s="148"/>
    </row>
    <row r="38" spans="2:13" ht="15" x14ac:dyDescent="0.15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5" x14ac:dyDescent="0.15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 x14ac:dyDescent="0.15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5" x14ac:dyDescent="0.15">
      <c r="B41" s="93" t="s">
        <v>131</v>
      </c>
      <c r="C41" s="148">
        <v>10859</v>
      </c>
      <c r="D41" s="148">
        <v>-3351</v>
      </c>
      <c r="E41" s="148">
        <v>-2625</v>
      </c>
      <c r="F41" s="148">
        <v>-2285</v>
      </c>
      <c r="G41" s="148">
        <v>-736</v>
      </c>
      <c r="H41" s="148"/>
      <c r="I41" s="148"/>
      <c r="J41" s="148"/>
      <c r="K41" s="148"/>
      <c r="L41" s="148"/>
      <c r="M41" s="148"/>
    </row>
    <row r="42" spans="2:13" ht="15" x14ac:dyDescent="0.15">
      <c r="B42" s="93" t="s">
        <v>132</v>
      </c>
      <c r="C42" s="148">
        <v>0</v>
      </c>
      <c r="D42" s="148">
        <v>0</v>
      </c>
      <c r="E42" s="148">
        <v>0</v>
      </c>
      <c r="F42" s="148">
        <v>0</v>
      </c>
      <c r="G42" s="148">
        <v>0</v>
      </c>
      <c r="H42" s="148"/>
      <c r="I42" s="148"/>
      <c r="J42" s="148"/>
      <c r="K42" s="148"/>
      <c r="L42" s="148"/>
      <c r="M42" s="148"/>
    </row>
    <row r="43" spans="2:13" ht="15" x14ac:dyDescent="0.15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4" x14ac:dyDescent="0.15">
      <c r="B44" s="74" t="s">
        <v>192</v>
      </c>
      <c r="C44" s="245">
        <v>1.08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4" x14ac:dyDescent="0.15">
      <c r="B45" s="74" t="s">
        <v>233</v>
      </c>
      <c r="C45" s="150">
        <f>IF(C44="","",C44*Exchange_Rate/Dashboard!$G$3)</f>
        <v>4.8343777976723366E-2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4" x14ac:dyDescent="0.15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4" x14ac:dyDescent="0.15">
      <c r="B48" s="3" t="s">
        <v>33</v>
      </c>
      <c r="C48" s="59">
        <v>127</v>
      </c>
      <c r="D48" s="60">
        <v>0.9</v>
      </c>
      <c r="E48" s="111"/>
    </row>
    <row r="49" spans="2:5" ht="14" x14ac:dyDescent="0.15">
      <c r="B49" s="1" t="s">
        <v>129</v>
      </c>
      <c r="C49" s="59"/>
      <c r="D49" s="60">
        <v>0.8</v>
      </c>
      <c r="E49" s="111"/>
    </row>
    <row r="50" spans="2:5" ht="14" x14ac:dyDescent="0.15">
      <c r="B50" s="3" t="s">
        <v>111</v>
      </c>
      <c r="C50" s="59">
        <v>668</v>
      </c>
      <c r="D50" s="60">
        <f>D51</f>
        <v>0.6</v>
      </c>
      <c r="E50" s="111"/>
    </row>
    <row r="51" spans="2:5" ht="14" x14ac:dyDescent="0.15">
      <c r="B51" s="3" t="s">
        <v>37</v>
      </c>
      <c r="C51" s="59"/>
      <c r="D51" s="60">
        <v>0.6</v>
      </c>
      <c r="E51" s="111"/>
    </row>
    <row r="52" spans="2:5" ht="14" x14ac:dyDescent="0.15">
      <c r="B52" s="3" t="s">
        <v>39</v>
      </c>
      <c r="C52" s="59"/>
      <c r="D52" s="60">
        <v>0.5</v>
      </c>
      <c r="E52" s="111"/>
    </row>
    <row r="53" spans="2:5" ht="14" x14ac:dyDescent="0.15">
      <c r="B53" s="1" t="s">
        <v>149</v>
      </c>
      <c r="C53" s="59"/>
      <c r="D53" s="60">
        <f>D50</f>
        <v>0.6</v>
      </c>
      <c r="E53" s="111"/>
    </row>
    <row r="54" spans="2:5" ht="14" x14ac:dyDescent="0.15">
      <c r="B54" s="3" t="s">
        <v>242</v>
      </c>
      <c r="C54" s="59">
        <v>314</v>
      </c>
      <c r="D54" s="60">
        <v>0.1</v>
      </c>
      <c r="E54" s="111"/>
    </row>
    <row r="55" spans="2:5" ht="14" x14ac:dyDescent="0.15">
      <c r="B55" s="3" t="s">
        <v>42</v>
      </c>
      <c r="C55" s="59"/>
      <c r="D55" s="60">
        <f>D52</f>
        <v>0.5</v>
      </c>
      <c r="E55" s="111"/>
    </row>
    <row r="56" spans="2:5" ht="14" x14ac:dyDescent="0.15">
      <c r="B56" s="1" t="s">
        <v>43</v>
      </c>
      <c r="C56" s="59"/>
      <c r="D56" s="60">
        <f>D50</f>
        <v>0.6</v>
      </c>
      <c r="E56" s="216" t="s">
        <v>66</v>
      </c>
    </row>
    <row r="57" spans="2:5" ht="14" x14ac:dyDescent="0.15">
      <c r="B57" s="3" t="s">
        <v>114</v>
      </c>
      <c r="C57" s="59"/>
      <c r="D57" s="60">
        <v>0.6</v>
      </c>
      <c r="E57" s="216" t="s">
        <v>41</v>
      </c>
    </row>
    <row r="58" spans="2:5" ht="14" x14ac:dyDescent="0.15">
      <c r="B58" s="3" t="s">
        <v>45</v>
      </c>
      <c r="C58" s="59"/>
      <c r="D58" s="60">
        <f>D48</f>
        <v>0.9</v>
      </c>
      <c r="E58" s="111"/>
    </row>
    <row r="59" spans="2:5" ht="14" x14ac:dyDescent="0.15">
      <c r="B59" s="35" t="s">
        <v>46</v>
      </c>
      <c r="C59" s="118">
        <v>24</v>
      </c>
      <c r="D59" s="192">
        <f>D70</f>
        <v>0.05</v>
      </c>
      <c r="E59" s="111"/>
    </row>
    <row r="60" spans="2:5" ht="14" x14ac:dyDescent="0.15">
      <c r="B60" s="3" t="s">
        <v>56</v>
      </c>
      <c r="C60" s="59"/>
      <c r="D60" s="60">
        <f>D49</f>
        <v>0.8</v>
      </c>
      <c r="E60" s="111"/>
    </row>
    <row r="61" spans="2:5" ht="14" x14ac:dyDescent="0.15">
      <c r="B61" s="3" t="s">
        <v>58</v>
      </c>
      <c r="C61" s="59"/>
      <c r="D61" s="60">
        <f>D51</f>
        <v>0.6</v>
      </c>
      <c r="E61" s="111"/>
    </row>
    <row r="62" spans="2:5" ht="14" x14ac:dyDescent="0.15">
      <c r="B62" s="3" t="s">
        <v>60</v>
      </c>
      <c r="C62" s="59"/>
      <c r="D62" s="60">
        <f>D52</f>
        <v>0.5</v>
      </c>
      <c r="E62" s="111"/>
    </row>
    <row r="63" spans="2:5" ht="14" x14ac:dyDescent="0.15">
      <c r="B63" s="1" t="s">
        <v>150</v>
      </c>
      <c r="C63" s="59"/>
      <c r="D63" s="60">
        <f>D62</f>
        <v>0.5</v>
      </c>
      <c r="E63" s="111"/>
    </row>
    <row r="64" spans="2:5" ht="14" x14ac:dyDescent="0.15">
      <c r="B64" s="3" t="s">
        <v>241</v>
      </c>
      <c r="C64" s="59"/>
      <c r="D64" s="60">
        <v>0.4</v>
      </c>
      <c r="E64" s="111"/>
    </row>
    <row r="65" spans="2:5" ht="14" x14ac:dyDescent="0.15">
      <c r="B65" s="3" t="s">
        <v>65</v>
      </c>
      <c r="C65" s="59">
        <v>1079</v>
      </c>
      <c r="D65" s="60">
        <v>0.1</v>
      </c>
      <c r="E65" s="216" t="s">
        <v>66</v>
      </c>
    </row>
    <row r="66" spans="2:5" ht="14" x14ac:dyDescent="0.15">
      <c r="B66" s="3" t="s">
        <v>67</v>
      </c>
      <c r="C66" s="59"/>
      <c r="D66" s="60">
        <v>0.3</v>
      </c>
      <c r="E66" s="216" t="s">
        <v>66</v>
      </c>
    </row>
    <row r="67" spans="2:5" ht="14" x14ac:dyDescent="0.15">
      <c r="B67" s="1" t="s">
        <v>44</v>
      </c>
      <c r="C67" s="59"/>
      <c r="D67" s="60">
        <v>0.2</v>
      </c>
      <c r="E67" s="216" t="s">
        <v>41</v>
      </c>
    </row>
    <row r="68" spans="2:5" ht="14" x14ac:dyDescent="0.15">
      <c r="B68" s="3" t="s">
        <v>113</v>
      </c>
      <c r="C68" s="59">
        <v>2013</v>
      </c>
      <c r="D68" s="60">
        <f>D65</f>
        <v>0.1</v>
      </c>
      <c r="E68" s="111"/>
    </row>
    <row r="69" spans="2:5" ht="14" x14ac:dyDescent="0.15">
      <c r="B69" s="3" t="s">
        <v>68</v>
      </c>
      <c r="C69" s="59"/>
      <c r="D69" s="60">
        <f>D70</f>
        <v>0.05</v>
      </c>
      <c r="E69" s="111"/>
    </row>
    <row r="70" spans="2:5" ht="14" x14ac:dyDescent="0.15">
      <c r="B70" s="3" t="s">
        <v>69</v>
      </c>
      <c r="C70" s="59">
        <f>8600+1610</f>
        <v>10210</v>
      </c>
      <c r="D70" s="60">
        <v>0.05</v>
      </c>
      <c r="E70" s="111"/>
    </row>
    <row r="71" spans="2:5" ht="14" x14ac:dyDescent="0.15">
      <c r="B71" s="3" t="s">
        <v>70</v>
      </c>
      <c r="C71" s="59"/>
      <c r="D71" s="60">
        <f>D58</f>
        <v>0.9</v>
      </c>
      <c r="E71" s="111"/>
    </row>
    <row r="72" spans="2:5" ht="15" thickBot="1" x14ac:dyDescent="0.2">
      <c r="B72" s="241" t="s">
        <v>71</v>
      </c>
      <c r="C72" s="242">
        <f>12390+658</f>
        <v>13048</v>
      </c>
      <c r="D72" s="243">
        <v>0</v>
      </c>
      <c r="E72" s="244"/>
    </row>
    <row r="73" spans="2:5" ht="14" x14ac:dyDescent="0.15">
      <c r="B73" s="3" t="s">
        <v>34</v>
      </c>
      <c r="C73" s="59">
        <f>77+589</f>
        <v>666</v>
      </c>
    </row>
    <row r="74" spans="2:5" ht="14" x14ac:dyDescent="0.15">
      <c r="B74" s="3" t="s">
        <v>35</v>
      </c>
      <c r="C74" s="59"/>
    </row>
    <row r="75" spans="2:5" ht="14" x14ac:dyDescent="0.15">
      <c r="B75" s="3" t="s">
        <v>36</v>
      </c>
      <c r="C75" s="59"/>
    </row>
    <row r="76" spans="2:5" ht="14" x14ac:dyDescent="0.15">
      <c r="B76" s="85" t="s">
        <v>38</v>
      </c>
      <c r="C76" s="118"/>
    </row>
    <row r="77" spans="2:5" ht="15" thickBot="1" x14ac:dyDescent="0.2">
      <c r="B77" s="80" t="s">
        <v>15</v>
      </c>
      <c r="C77" s="82">
        <v>3061</v>
      </c>
    </row>
    <row r="78" spans="2:5" ht="15" thickTop="1" x14ac:dyDescent="0.15">
      <c r="B78" s="3" t="s">
        <v>57</v>
      </c>
      <c r="C78" s="59">
        <v>10137</v>
      </c>
    </row>
    <row r="79" spans="2:5" ht="14" x14ac:dyDescent="0.15">
      <c r="B79" s="3" t="s">
        <v>59</v>
      </c>
      <c r="C79" s="59"/>
    </row>
    <row r="80" spans="2:5" ht="14" x14ac:dyDescent="0.15">
      <c r="B80" s="3" t="s">
        <v>61</v>
      </c>
      <c r="C80" s="59"/>
    </row>
    <row r="81" spans="2:8" ht="14" x14ac:dyDescent="0.15">
      <c r="B81" s="85" t="s">
        <v>62</v>
      </c>
      <c r="C81" s="118"/>
    </row>
    <row r="82" spans="2:8" ht="15" hidden="1" thickBot="1" x14ac:dyDescent="0.2">
      <c r="B82" s="80" t="s">
        <v>263</v>
      </c>
      <c r="C82" s="212"/>
    </row>
    <row r="83" spans="2:8" ht="15" hidden="1" thickTop="1" x14ac:dyDescent="0.15">
      <c r="B83" s="73" t="s">
        <v>264</v>
      </c>
      <c r="C83" s="212"/>
    </row>
    <row r="84" spans="2:8" ht="14" x14ac:dyDescent="0.15">
      <c r="B84" s="20" t="s">
        <v>86</v>
      </c>
      <c r="C84" s="59"/>
    </row>
    <row r="85" spans="2:8" ht="14" x14ac:dyDescent="0.15">
      <c r="B85" s="20" t="s">
        <v>88</v>
      </c>
      <c r="C85" s="59"/>
    </row>
    <row r="86" spans="2:8" ht="14" x14ac:dyDescent="0.15">
      <c r="B86" s="10" t="s">
        <v>231</v>
      </c>
      <c r="C86" s="194">
        <v>5</v>
      </c>
    </row>
    <row r="87" spans="2:8" ht="14" x14ac:dyDescent="0.15">
      <c r="B87" s="10" t="s">
        <v>230</v>
      </c>
      <c r="C87" s="231" t="s">
        <v>232</v>
      </c>
      <c r="D87" s="264">
        <v>0.02</v>
      </c>
    </row>
    <row r="89" spans="2:8" ht="14" x14ac:dyDescent="0.1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4" x14ac:dyDescent="0.15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4" x14ac:dyDescent="0.15">
      <c r="B91" s="3" t="s">
        <v>120</v>
      </c>
      <c r="C91" s="77">
        <f>C25</f>
        <v>8817</v>
      </c>
      <c r="D91" s="204"/>
      <c r="E91" s="246">
        <f>C91</f>
        <v>8817</v>
      </c>
      <c r="F91" s="246">
        <f>C91</f>
        <v>8817</v>
      </c>
    </row>
    <row r="92" spans="2:8" ht="14" x14ac:dyDescent="0.15">
      <c r="B92" s="103" t="s">
        <v>101</v>
      </c>
      <c r="C92" s="77">
        <f>C26</f>
        <v>4568</v>
      </c>
      <c r="D92" s="156">
        <f>C92/C91</f>
        <v>0.51809005330611324</v>
      </c>
      <c r="E92" s="247">
        <f>E91*D92</f>
        <v>4568</v>
      </c>
      <c r="F92" s="247">
        <f>F91*D92</f>
        <v>4568</v>
      </c>
    </row>
    <row r="93" spans="2:8" ht="14" x14ac:dyDescent="0.15">
      <c r="B93" s="103" t="s">
        <v>229</v>
      </c>
      <c r="C93" s="77">
        <f>C27+C28</f>
        <v>2028</v>
      </c>
      <c r="D93" s="156">
        <f>C93/C91</f>
        <v>0.23001020755358967</v>
      </c>
      <c r="E93" s="247">
        <f>E91*D93</f>
        <v>2028</v>
      </c>
      <c r="F93" s="247">
        <f>F91*D93</f>
        <v>2028</v>
      </c>
    </row>
    <row r="94" spans="2:8" ht="14" x14ac:dyDescent="0.15">
      <c r="B94" s="103" t="s">
        <v>237</v>
      </c>
      <c r="C94" s="77">
        <f>C29</f>
        <v>423</v>
      </c>
      <c r="D94" s="156">
        <f>C94/C91</f>
        <v>4.7975501871384822E-2</v>
      </c>
      <c r="E94" s="248"/>
      <c r="F94" s="247">
        <f>F91*D94</f>
        <v>423</v>
      </c>
    </row>
    <row r="95" spans="2:8" ht="14" x14ac:dyDescent="0.15">
      <c r="B95" s="28" t="s">
        <v>228</v>
      </c>
      <c r="C95" s="77">
        <f>ABS(MAX(C33,0)-C32)</f>
        <v>100</v>
      </c>
      <c r="D95" s="156">
        <f>C95/C91</f>
        <v>1.1341726210729272E-2</v>
      </c>
      <c r="E95" s="247">
        <f>E91*D95</f>
        <v>100</v>
      </c>
      <c r="F95" s="247">
        <f>F91*D95</f>
        <v>100</v>
      </c>
    </row>
    <row r="96" spans="2:8" ht="14" x14ac:dyDescent="0.15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4" x14ac:dyDescent="0.15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4" x14ac:dyDescent="0.15">
      <c r="B98" s="85" t="s">
        <v>192</v>
      </c>
      <c r="C98" s="232">
        <f>C44</f>
        <v>1.08</v>
      </c>
      <c r="D98" s="261"/>
      <c r="E98" s="249">
        <f>F98</f>
        <v>1.08</v>
      </c>
      <c r="F98" s="249">
        <f>C98</f>
        <v>1.08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5" sqref="D2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6"/>
      <c r="C1" s="86"/>
      <c r="D1" s="86"/>
      <c r="E1" s="86"/>
      <c r="F1" s="86"/>
      <c r="G1" s="86"/>
      <c r="H1" s="86"/>
    </row>
    <row r="2" spans="1:10" ht="15.75" customHeight="1" x14ac:dyDescent="0.2">
      <c r="A2" s="5"/>
      <c r="B2" s="6" t="s">
        <v>0</v>
      </c>
      <c r="C2" s="25" t="str">
        <f>C3&amp;" : "&amp;C4</f>
        <v>SIRI : SiriusXM</v>
      </c>
      <c r="D2" s="86"/>
      <c r="E2" s="7"/>
      <c r="F2" s="7"/>
      <c r="G2" s="85"/>
      <c r="H2" s="85"/>
    </row>
    <row r="3" spans="1:10" ht="15.75" customHeight="1" x14ac:dyDescent="0.15">
      <c r="B3" s="3" t="s">
        <v>179</v>
      </c>
      <c r="C3" s="290" t="str">
        <f>Inputs!C4</f>
        <v>SIRI</v>
      </c>
      <c r="D3" s="291"/>
      <c r="E3" s="86"/>
      <c r="F3" s="3" t="s">
        <v>1</v>
      </c>
      <c r="G3" s="130">
        <v>22.34</v>
      </c>
      <c r="H3" s="132" t="s">
        <v>271</v>
      </c>
    </row>
    <row r="4" spans="1:10" ht="15.75" customHeight="1" x14ac:dyDescent="0.15">
      <c r="B4" s="35" t="s">
        <v>180</v>
      </c>
      <c r="C4" s="292" t="str">
        <f>Inputs!C5</f>
        <v>SiriusXM</v>
      </c>
      <c r="D4" s="293"/>
      <c r="E4" s="86"/>
      <c r="F4" s="3" t="s">
        <v>2</v>
      </c>
      <c r="G4" s="296">
        <f>Inputs!C10</f>
        <v>339201984</v>
      </c>
      <c r="H4" s="296"/>
      <c r="I4" s="39"/>
    </row>
    <row r="5" spans="1:10" ht="15.75" customHeight="1" x14ac:dyDescent="0.15">
      <c r="B5" s="3" t="s">
        <v>154</v>
      </c>
      <c r="C5" s="294">
        <f>Inputs!C6</f>
        <v>45644</v>
      </c>
      <c r="D5" s="295"/>
      <c r="E5" s="34"/>
      <c r="F5" s="35" t="s">
        <v>95</v>
      </c>
      <c r="G5" s="288">
        <f>G3*G4/1000000</f>
        <v>7577.7723225600002</v>
      </c>
      <c r="H5" s="288"/>
      <c r="I5" s="38"/>
      <c r="J5" s="28"/>
    </row>
    <row r="6" spans="1:10" ht="15.75" customHeight="1" x14ac:dyDescent="0.15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15">
      <c r="B7" s="85" t="s">
        <v>177</v>
      </c>
      <c r="C7" s="184" t="str">
        <f>Inputs!C8</f>
        <v>Tier 3</v>
      </c>
      <c r="D7" s="184" t="str">
        <f>Inputs!C9</f>
        <v>C0012</v>
      </c>
      <c r="E7" s="86"/>
      <c r="F7" s="35" t="s">
        <v>5</v>
      </c>
      <c r="G7" s="131">
        <v>1</v>
      </c>
      <c r="H7" s="71" t="str">
        <f>IF(G6=Dashboard!H3,H3,G6&amp;"/"&amp;Dashboard!H3)</f>
        <v>USD</v>
      </c>
    </row>
    <row r="8" spans="1:10" ht="15.75" customHeight="1" x14ac:dyDescent="0.15"/>
    <row r="9" spans="1:10" ht="15.75" customHeight="1" x14ac:dyDescent="0.15">
      <c r="B9" s="137" t="s">
        <v>176</v>
      </c>
      <c r="F9" s="141" t="s">
        <v>171</v>
      </c>
    </row>
    <row r="10" spans="1:10" ht="15.75" customHeight="1" x14ac:dyDescent="0.15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2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15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15"/>
    <row r="14" spans="1:10" ht="15.75" customHeight="1" x14ac:dyDescent="0.15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15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2">
      <c r="B16" s="120" t="s">
        <v>173</v>
      </c>
      <c r="C16" s="170">
        <v>0.16</v>
      </c>
      <c r="D16" s="260" t="str">
        <f>Inputs!C15</f>
        <v>US</v>
      </c>
      <c r="F16" s="109" t="s">
        <v>165</v>
      </c>
    </row>
    <row r="17" spans="1:8" ht="15.75" customHeight="1" thickTop="1" x14ac:dyDescent="0.15">
      <c r="B17" s="86" t="s">
        <v>235</v>
      </c>
      <c r="C17" s="172">
        <v>8.6249999999999993E-2</v>
      </c>
      <c r="D17" s="173"/>
    </row>
    <row r="18" spans="1:8" ht="15.75" customHeight="1" x14ac:dyDescent="0.15"/>
    <row r="19" spans="1:8" ht="15.75" customHeight="1" thickBot="1" x14ac:dyDescent="0.2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2">
      <c r="B20" s="270" t="s">
        <v>249</v>
      </c>
      <c r="C20" s="271">
        <f>C21*C22*C23</f>
        <v>0.20453080394143108</v>
      </c>
      <c r="F20" s="86" t="s">
        <v>196</v>
      </c>
      <c r="G20" s="169">
        <v>0.15</v>
      </c>
    </row>
    <row r="21" spans="1:8" ht="15.75" customHeight="1" thickTop="1" x14ac:dyDescent="0.15">
      <c r="B21" s="272" t="s">
        <v>254</v>
      </c>
      <c r="C21" s="283">
        <f>Data!C13</f>
        <v>0.25189973914029717</v>
      </c>
      <c r="F21" s="86"/>
      <c r="G21" s="29"/>
    </row>
    <row r="22" spans="1:8" ht="15.75" customHeight="1" x14ac:dyDescent="0.15">
      <c r="B22" s="273" t="s">
        <v>261</v>
      </c>
      <c r="C22" s="274">
        <f>Data!C48</f>
        <v>0.32081650474838991</v>
      </c>
      <c r="F22" s="140" t="s">
        <v>170</v>
      </c>
    </row>
    <row r="23" spans="1:8" ht="15.75" customHeight="1" thickBot="1" x14ac:dyDescent="0.2">
      <c r="B23" s="275" t="s">
        <v>267</v>
      </c>
      <c r="C23" s="282">
        <f>1/Data!C53</f>
        <v>2.5308960309420758</v>
      </c>
      <c r="F23" s="138" t="s">
        <v>174</v>
      </c>
      <c r="G23" s="174">
        <f>G3/(Data!C34*Data!C4/Common_Shares*Exchange_Rate)</f>
        <v>0.69783334768947414</v>
      </c>
    </row>
    <row r="24" spans="1:8" ht="15.75" customHeight="1" x14ac:dyDescent="0.15">
      <c r="B24" s="280" t="s">
        <v>255</v>
      </c>
      <c r="C24" s="281">
        <f>Fin_Analysis!I81</f>
        <v>4.7975501871384822E-2</v>
      </c>
      <c r="F24" s="138" t="s">
        <v>240</v>
      </c>
      <c r="G24" s="263">
        <f>G3/(Fin_Analysis!H86*G7)</f>
        <v>5.950351254464076</v>
      </c>
    </row>
    <row r="25" spans="1:8" ht="15.75" customHeight="1" x14ac:dyDescent="0.15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0.28766245992932865</v>
      </c>
    </row>
    <row r="26" spans="1:8" ht="15.75" customHeight="1" x14ac:dyDescent="0.15">
      <c r="B26" s="136" t="s">
        <v>257</v>
      </c>
      <c r="C26" s="168">
        <f>Fin_Analysis!I80+Fin_Analysis!I82</f>
        <v>1.1341726210729272E-2</v>
      </c>
      <c r="F26" s="139" t="s">
        <v>178</v>
      </c>
      <c r="G26" s="175">
        <f>Fin_Analysis!H88*Exchange_Rate/G3</f>
        <v>4.8343777976723366E-2</v>
      </c>
    </row>
    <row r="27" spans="1:8" ht="15.75" customHeight="1" x14ac:dyDescent="0.15"/>
    <row r="28" spans="1:8" ht="15.75" customHeight="1" x14ac:dyDescent="0.15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15">
      <c r="B29" s="86" t="s">
        <v>159</v>
      </c>
      <c r="C29" s="128">
        <f>IF(Fin_Analysis!C108="Profit",Fin_Analysis!D100,IF(Fin_Analysis!C108="Dividend",Fin_Analysis!D103,Fin_Analysis!D106))</f>
        <v>21.62464551278746</v>
      </c>
      <c r="D29" s="127">
        <f>G29*(1+G20)</f>
        <v>67.167805126088908</v>
      </c>
      <c r="E29" s="86"/>
      <c r="F29" s="129">
        <f>IF(Fin_Analysis!C108="Profit",Fin_Analysis!F100,IF(Fin_Analysis!C108="Dividend",Fin_Analysis!F103,Fin_Analysis!F106))</f>
        <v>25.440759426808775</v>
      </c>
      <c r="G29" s="287">
        <f>IF(Fin_Analysis!C108="Profit",Fin_Analysis!I100,IF(Fin_Analysis!C108="Dividend",Fin_Analysis!I103,Fin_Analysis!I106))</f>
        <v>58.406787066164277</v>
      </c>
      <c r="H29" s="287"/>
    </row>
    <row r="30" spans="1:8" ht="15.75" customHeight="1" x14ac:dyDescent="0.15"/>
    <row r="31" spans="1:8" ht="15.75" customHeight="1" x14ac:dyDescent="0.2">
      <c r="A31" s="5"/>
      <c r="B31" s="6" t="s">
        <v>206</v>
      </c>
      <c r="C31"/>
    </row>
    <row r="32" spans="1:8" ht="15.75" customHeight="1" x14ac:dyDescent="0.15">
      <c r="A32"/>
      <c r="B32" s="193" t="s">
        <v>207</v>
      </c>
      <c r="C32" s="219"/>
    </row>
    <row r="33" spans="1:3" ht="15.75" customHeight="1" x14ac:dyDescent="0.15">
      <c r="A33"/>
      <c r="B33" s="20" t="s">
        <v>208</v>
      </c>
      <c r="C33" s="240" t="str">
        <f>Inputs!C17</f>
        <v>unclear</v>
      </c>
    </row>
    <row r="34" spans="1:3" ht="15.75" customHeight="1" x14ac:dyDescent="0.15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15">
      <c r="A35"/>
      <c r="B35" s="193" t="s">
        <v>210</v>
      </c>
      <c r="C35" s="219"/>
    </row>
    <row r="36" spans="1:3" ht="15.75" customHeight="1" x14ac:dyDescent="0.15">
      <c r="A36"/>
      <c r="B36" s="20" t="s">
        <v>222</v>
      </c>
      <c r="C36" s="240" t="str">
        <f>Inputs!C18</f>
        <v>unclear</v>
      </c>
    </row>
    <row r="37" spans="1:3" ht="15.75" customHeight="1" x14ac:dyDescent="0.15">
      <c r="A37"/>
      <c r="B37" s="20" t="s">
        <v>223</v>
      </c>
      <c r="C37" s="240" t="str">
        <f>Inputs!C19</f>
        <v>unclear</v>
      </c>
    </row>
    <row r="38" spans="1:3" ht="15.75" customHeight="1" x14ac:dyDescent="0.15">
      <c r="A38"/>
      <c r="B38" s="193" t="s">
        <v>211</v>
      </c>
      <c r="C38" s="219"/>
    </row>
    <row r="39" spans="1:3" ht="15.75" customHeight="1" x14ac:dyDescent="0.15">
      <c r="A39"/>
      <c r="B39" s="19" t="s">
        <v>212</v>
      </c>
      <c r="C39" s="240" t="str">
        <f>Inputs!C20</f>
        <v>unclear</v>
      </c>
    </row>
    <row r="40" spans="1:3" ht="15.75" customHeight="1" x14ac:dyDescent="0.15">
      <c r="A40"/>
      <c r="B40" s="1" t="s">
        <v>215</v>
      </c>
      <c r="C40" s="240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213</v>
      </c>
      <c r="C42"/>
    </row>
    <row r="43" spans="1:3" ht="70" x14ac:dyDescent="0.15">
      <c r="A43"/>
      <c r="B43" s="221" t="s">
        <v>214</v>
      </c>
      <c r="C43" s="239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" zoomScaleNormal="100" workbookViewId="0">
      <pane xSplit="2" topLeftCell="C1" activePane="topRight" state="frozen"/>
      <selection activeCell="A4" sqref="A4"/>
      <selection pane="topRight" activeCell="G13" sqref="G13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15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2221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15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15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3" t="s">
        <v>11</v>
      </c>
      <c r="C6" s="197">
        <f>IF(Inputs!C25=""," ",Inputs!C25)</f>
        <v>8817</v>
      </c>
      <c r="D6" s="197">
        <f>IF(Inputs!D25="","",Inputs!D25)</f>
        <v>8853</v>
      </c>
      <c r="E6" s="197">
        <f>IF(Inputs!E25="","",Inputs!E25)</f>
        <v>8545</v>
      </c>
      <c r="F6" s="197">
        <f>IF(Inputs!F25="","",Inputs!F25)</f>
        <v>7885</v>
      </c>
      <c r="G6" s="197">
        <f>IF(Inputs!G25="","",Inputs!G25)</f>
        <v>7629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15">
      <c r="A7" s="4"/>
      <c r="B7" s="95" t="s">
        <v>12</v>
      </c>
      <c r="C7" s="91">
        <f t="shared" ref="C7:M7" si="1">IF(D6="","",C6/D6-1)</f>
        <v>-4.0664181633344176E-3</v>
      </c>
      <c r="D7" s="91">
        <f t="shared" si="1"/>
        <v>3.604447045055581E-2</v>
      </c>
      <c r="E7" s="91">
        <f t="shared" si="1"/>
        <v>8.3703233988585923E-2</v>
      </c>
      <c r="F7" s="91">
        <f t="shared" si="1"/>
        <v>3.3556167256521219E-2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15">
      <c r="A8" s="4"/>
      <c r="B8" s="96" t="s">
        <v>101</v>
      </c>
      <c r="C8" s="196">
        <f>IF(Inputs!C26="","",Inputs!C26)</f>
        <v>4568</v>
      </c>
      <c r="D8" s="196">
        <f>IF(Inputs!D26="","",Inputs!D26)</f>
        <v>4482</v>
      </c>
      <c r="E8" s="196">
        <f>IF(Inputs!E26="","",Inputs!E26)</f>
        <v>4293</v>
      </c>
      <c r="F8" s="196">
        <f>IF(Inputs!F26="","",Inputs!F26)</f>
        <v>3941</v>
      </c>
      <c r="G8" s="196">
        <f>IF(Inputs!G26="","",Inputs!G26)</f>
        <v>3854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15">
      <c r="A9" s="4"/>
      <c r="B9" s="97" t="s">
        <v>98</v>
      </c>
      <c r="C9" s="149">
        <f t="shared" ref="C9:M9" si="2">IF(C6="","",(C6-C8))</f>
        <v>4249</v>
      </c>
      <c r="D9" s="149">
        <f t="shared" si="2"/>
        <v>4371</v>
      </c>
      <c r="E9" s="149">
        <f t="shared" si="2"/>
        <v>4252</v>
      </c>
      <c r="F9" s="149">
        <f t="shared" si="2"/>
        <v>3944</v>
      </c>
      <c r="G9" s="149">
        <f t="shared" si="2"/>
        <v>3775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15">
      <c r="A10" s="4"/>
      <c r="B10" s="96" t="s">
        <v>99</v>
      </c>
      <c r="C10" s="196">
        <f>IF(Inputs!C27="","",Inputs!C27)</f>
        <v>2028</v>
      </c>
      <c r="D10" s="196">
        <f>IF(Inputs!D27="","",Inputs!D27)</f>
        <v>2100</v>
      </c>
      <c r="E10" s="196">
        <f>IF(Inputs!E27="","",Inputs!E27)</f>
        <v>2035</v>
      </c>
      <c r="F10" s="196">
        <f>IF(Inputs!F27="","",Inputs!F27)</f>
        <v>1862</v>
      </c>
      <c r="G10" s="196">
        <f>IF(Inputs!G27="","",Inputs!G27)</f>
        <v>1731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15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15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15">
      <c r="A13" s="4"/>
      <c r="B13" s="223" t="s">
        <v>225</v>
      </c>
      <c r="C13" s="224">
        <f t="shared" ref="C13:M13" si="3">IF(C14="","",C14/C6)</f>
        <v>0.25189973914029717</v>
      </c>
      <c r="D13" s="224">
        <f t="shared" si="3"/>
        <v>0.25652321247034904</v>
      </c>
      <c r="E13" s="224">
        <f t="shared" si="3"/>
        <v>0.25944997074312465</v>
      </c>
      <c r="F13" s="224">
        <f t="shared" si="3"/>
        <v>0.26404565630944832</v>
      </c>
      <c r="G13" s="224">
        <f t="shared" si="3"/>
        <v>0.26792502293878623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15">
      <c r="A14" s="4"/>
      <c r="B14" s="223" t="s">
        <v>217</v>
      </c>
      <c r="C14" s="225">
        <f>IF(C6="","",C9-C10-MAX(C11,0)-MAX(C12,0))</f>
        <v>2221</v>
      </c>
      <c r="D14" s="225">
        <f t="shared" ref="D14:M14" si="4">IF(D6="","",D9-D10-MAX(D11,0)-MAX(D12,0))</f>
        <v>2271</v>
      </c>
      <c r="E14" s="225">
        <f t="shared" si="4"/>
        <v>2217</v>
      </c>
      <c r="F14" s="225">
        <f t="shared" si="4"/>
        <v>2082</v>
      </c>
      <c r="G14" s="225">
        <f t="shared" si="4"/>
        <v>2044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15">
      <c r="A15" s="4"/>
      <c r="B15" s="226" t="s">
        <v>226</v>
      </c>
      <c r="C15" s="227">
        <f>IF(D14="","",IF(ABS(C14+D14)=ABS(C14)+ABS(D14),IF(C14&lt;0,-1,1)*(C14-D14)/D14,"Turn"))</f>
        <v>-2.2016732716864818E-2</v>
      </c>
      <c r="D15" s="227">
        <f t="shared" ref="D15:M15" si="5">IF(E14="","",IF(ABS(D14+E14)=ABS(D14)+ABS(E14),IF(D14&lt;0,-1,1)*(D14-E14)/E14,"Turn"))</f>
        <v>2.4357239512855209E-2</v>
      </c>
      <c r="E15" s="227">
        <f t="shared" si="5"/>
        <v>6.4841498559077809E-2</v>
      </c>
      <c r="F15" s="227">
        <f t="shared" si="5"/>
        <v>1.8590998043052837E-2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15">
      <c r="A16" s="4"/>
      <c r="B16" s="96" t="s">
        <v>105</v>
      </c>
      <c r="C16" s="196">
        <f>IF(Inputs!C31="","",Inputs!C31)</f>
        <v>-134</v>
      </c>
      <c r="D16" s="196">
        <f>IF(Inputs!D31="","",Inputs!D31)</f>
        <v>-188</v>
      </c>
      <c r="E16" s="196">
        <f>IF(Inputs!E31="","",Inputs!E31)</f>
        <v>-280</v>
      </c>
      <c r="F16" s="196">
        <f>IF(Inputs!F31="","",Inputs!F31)</f>
        <v>-126</v>
      </c>
      <c r="G16" s="196">
        <f>IF(Inputs!G31="","",Inputs!G31)</f>
        <v>-28</v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15">
      <c r="A17" s="4"/>
      <c r="B17" s="96" t="s">
        <v>237</v>
      </c>
      <c r="C17" s="196">
        <f>IF(Inputs!C29="","",Inputs!C29)</f>
        <v>423</v>
      </c>
      <c r="D17" s="196">
        <f>IF(Inputs!D29="","",Inputs!D29)</f>
        <v>422</v>
      </c>
      <c r="E17" s="196">
        <f>IF(Inputs!E29="","",Inputs!E29)</f>
        <v>415</v>
      </c>
      <c r="F17" s="196">
        <f>IF(Inputs!F29="","",Inputs!F29)</f>
        <v>394</v>
      </c>
      <c r="G17" s="196">
        <f>IF(Inputs!G29="","",Inputs!G29)</f>
        <v>390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15">
      <c r="A18" s="4"/>
      <c r="B18" s="93" t="s">
        <v>94</v>
      </c>
      <c r="C18" s="150">
        <f t="shared" ref="C18:M18" si="6">IF(OR(C6="",C19=""),"",C19/C6)</f>
        <v>6.714301916751729E-2</v>
      </c>
      <c r="D18" s="150">
        <f t="shared" si="6"/>
        <v>6.6079295154185022E-2</v>
      </c>
      <c r="E18" s="150">
        <f t="shared" si="6"/>
        <v>6.8227033352837918E-2</v>
      </c>
      <c r="F18" s="150">
        <f t="shared" si="6"/>
        <v>7.1274571972098924E-2</v>
      </c>
      <c r="G18" s="150">
        <f t="shared" si="6"/>
        <v>6.8685279853191769E-2</v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15">
      <c r="A19" s="4"/>
      <c r="B19" s="96" t="s">
        <v>100</v>
      </c>
      <c r="C19" s="196">
        <f>IF(Inputs!C32="","",Inputs!C32)</f>
        <v>592</v>
      </c>
      <c r="D19" s="196">
        <f>IF(Inputs!D32="","",Inputs!D32)</f>
        <v>585</v>
      </c>
      <c r="E19" s="196">
        <f>IF(Inputs!E32="","",Inputs!E32)</f>
        <v>583</v>
      </c>
      <c r="F19" s="196">
        <f>IF(Inputs!F32="","",Inputs!F32)</f>
        <v>562</v>
      </c>
      <c r="G19" s="196">
        <f>IF(Inputs!G32="","",Inputs!G32)</f>
        <v>524</v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15">
      <c r="A20" s="4"/>
      <c r="B20" s="96" t="s">
        <v>219</v>
      </c>
      <c r="C20" s="150">
        <f t="shared" ref="C20:M20" si="7">IF(C6="","",MAX(C21,0)/C6)</f>
        <v>7.8484745378246568E-2</v>
      </c>
      <c r="D20" s="150">
        <f t="shared" si="7"/>
        <v>4.811928159945781E-2</v>
      </c>
      <c r="E20" s="150">
        <f t="shared" si="7"/>
        <v>4.5406670567583379E-2</v>
      </c>
      <c r="F20" s="150">
        <f t="shared" si="7"/>
        <v>4.4388078630310718E-2</v>
      </c>
      <c r="G20" s="150">
        <f t="shared" si="7"/>
        <v>4.7581596539520252E-2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15">
      <c r="A21" s="4"/>
      <c r="B21" s="96" t="s">
        <v>103</v>
      </c>
      <c r="C21" s="196">
        <f>IF(Inputs!C33="","",Inputs!C33)</f>
        <v>692</v>
      </c>
      <c r="D21" s="196">
        <f>IF(Inputs!D33="","",Inputs!D33)</f>
        <v>426</v>
      </c>
      <c r="E21" s="196">
        <f>IF(Inputs!E33="","",Inputs!E33)</f>
        <v>388</v>
      </c>
      <c r="F21" s="196">
        <f>IF(Inputs!F33="","",Inputs!F33)</f>
        <v>350</v>
      </c>
      <c r="G21" s="196">
        <f>IF(Inputs!G33="","",Inputs!G33)</f>
        <v>363</v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15">
      <c r="A22" s="4"/>
      <c r="B22" s="97" t="s">
        <v>107</v>
      </c>
      <c r="C22" s="158">
        <f>IF(C6="","",C14-MAX(C16,0)-MAX(C17,0)-ABS(MAX(C21,0)-MAX(C19,0)))</f>
        <v>1698</v>
      </c>
      <c r="D22" s="158">
        <f t="shared" ref="D22:M22" si="8">IF(D6="","",D14-MAX(D16,0)-MAX(D17,0)-ABS(MAX(D21,0)-MAX(D19,0)))</f>
        <v>1690</v>
      </c>
      <c r="E22" s="158">
        <f t="shared" si="8"/>
        <v>1607</v>
      </c>
      <c r="F22" s="158">
        <f t="shared" si="8"/>
        <v>1476</v>
      </c>
      <c r="G22" s="158">
        <f t="shared" si="8"/>
        <v>1493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15">
      <c r="A23" s="4"/>
      <c r="B23" s="99" t="s">
        <v>108</v>
      </c>
      <c r="C23" s="151">
        <f t="shared" ref="C23:M23" si="9">IF(C6="","",C24/C6)</f>
        <v>0.1444368832936373</v>
      </c>
      <c r="D23" s="151">
        <f t="shared" si="9"/>
        <v>0.14317180616740088</v>
      </c>
      <c r="E23" s="151">
        <f t="shared" si="9"/>
        <v>0.14104739613809245</v>
      </c>
      <c r="F23" s="151">
        <f t="shared" si="9"/>
        <v>0.14039315155358276</v>
      </c>
      <c r="G23" s="151">
        <f t="shared" si="9"/>
        <v>0.14677546205269368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15">
      <c r="A24" s="4"/>
      <c r="B24" s="100" t="s">
        <v>109</v>
      </c>
      <c r="C24" s="152">
        <f>IF(C6="","",C22*(1-Fin_Analysis!$I$84))</f>
        <v>1273.5</v>
      </c>
      <c r="D24" s="77">
        <f>IF(D6="","",D22*(1-Fin_Analysis!$I$84))</f>
        <v>1267.5</v>
      </c>
      <c r="E24" s="77">
        <f>IF(E6="","",E22*(1-Fin_Analysis!$I$84))</f>
        <v>1205.25</v>
      </c>
      <c r="F24" s="77">
        <f>IF(F6="","",F22*(1-Fin_Analysis!$I$84))</f>
        <v>1107</v>
      </c>
      <c r="G24" s="77">
        <f>IF(G6="","",G22*(1-Fin_Analysis!$I$84))</f>
        <v>1119.75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2">
      <c r="A25" s="4"/>
      <c r="B25" s="229" t="s">
        <v>122</v>
      </c>
      <c r="C25" s="228">
        <f>IF(D24="","",IF(ABS(C24+D24)=ABS(C24)+ABS(D24),IF(C24&lt;0,-1,1)*(C24-D24)/D24,"Turn"))</f>
        <v>4.7337278106508876E-3</v>
      </c>
      <c r="D25" s="228">
        <f t="shared" ref="D25:M25" si="10">IF(E24="","",IF(ABS(D24+E24)=ABS(D24)+ABS(E24),IF(D24&lt;0,-1,1)*(D24-E24)/E24,"Turn"))</f>
        <v>5.164903546981954E-2</v>
      </c>
      <c r="E25" s="228">
        <f t="shared" si="10"/>
        <v>8.8753387533875336E-2</v>
      </c>
      <c r="F25" s="228">
        <f t="shared" si="10"/>
        <v>-1.1386470194239785E-2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15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15">
      <c r="A27" s="4"/>
      <c r="B27" s="93" t="s">
        <v>13</v>
      </c>
      <c r="C27" s="65">
        <f>IF(C34="","",C34+C30)</f>
        <v>27483</v>
      </c>
      <c r="D27" s="65">
        <f>IF(D34="","",D34+D30)</f>
        <v>10022</v>
      </c>
      <c r="E27" s="65">
        <f t="shared" ref="E27:M27" si="20">IF(E34="","",E34+E30)</f>
        <v>10274</v>
      </c>
      <c r="F27" s="65">
        <f t="shared" si="20"/>
        <v>10333</v>
      </c>
      <c r="G27" s="65">
        <f t="shared" si="20"/>
        <v>11149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15">
      <c r="A28" s="4"/>
      <c r="B28" s="93" t="s">
        <v>111</v>
      </c>
      <c r="C28" s="65">
        <f>Fin_Analysis!C13</f>
        <v>668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15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15">
      <c r="A30" s="4"/>
      <c r="B30" s="93" t="s">
        <v>259</v>
      </c>
      <c r="C30" s="65">
        <f>Inputs!C37</f>
        <v>16624</v>
      </c>
      <c r="D30" s="196">
        <f>IF(Inputs!D37="","",Inputs!D37)</f>
        <v>13373</v>
      </c>
      <c r="E30" s="196">
        <f>IF(Inputs!E37="","",Inputs!E37)</f>
        <v>12899</v>
      </c>
      <c r="F30" s="196">
        <f>IF(Inputs!F37="","",Inputs!F37)</f>
        <v>12618</v>
      </c>
      <c r="G30" s="196">
        <f>IF(Inputs!G37="","",Inputs!G37)</f>
        <v>11885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15">
      <c r="A31" s="4"/>
      <c r="B31" s="93" t="s">
        <v>16</v>
      </c>
      <c r="C31" s="65">
        <f>Fin_Analysis!I15</f>
        <v>666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15">
      <c r="A32" s="4"/>
      <c r="B32" s="93" t="s">
        <v>17</v>
      </c>
      <c r="C32" s="65">
        <f>Fin_Analysis!I34</f>
        <v>10137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15">
      <c r="A33" s="4"/>
      <c r="B33" s="93" t="s">
        <v>18</v>
      </c>
      <c r="C33" s="77">
        <f t="shared" ref="C33" si="21">IF(OR(C31="",C32=""),"",C31+C32)</f>
        <v>10803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15">
      <c r="A34" s="4"/>
      <c r="B34" s="93" t="s">
        <v>131</v>
      </c>
      <c r="C34" s="65">
        <f>Inputs!C41</f>
        <v>10859</v>
      </c>
      <c r="D34" s="196">
        <f>IF(Inputs!D41="","",Inputs!D41)</f>
        <v>-3351</v>
      </c>
      <c r="E34" s="196">
        <f>IF(Inputs!E41="","",Inputs!E41)</f>
        <v>-2625</v>
      </c>
      <c r="F34" s="196">
        <f>IF(Inputs!F41="","",Inputs!F41)</f>
        <v>-2285</v>
      </c>
      <c r="G34" s="196">
        <f>IF(Inputs!G41="","",Inputs!G41)</f>
        <v>-736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15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0</v>
      </c>
      <c r="G35" s="196">
        <f>IF(Inputs!G42="","",Inputs!G42)</f>
        <v>0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15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15">
      <c r="A37" s="4"/>
      <c r="B37" s="93" t="s">
        <v>134</v>
      </c>
      <c r="C37" s="65">
        <f>Fin_Analysis!C68</f>
        <v>26277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15">
      <c r="A38" s="4"/>
      <c r="B38" s="97" t="s">
        <v>148</v>
      </c>
      <c r="C38" s="153">
        <f>IF(C6="","",C14/MAX(C37,0))</f>
        <v>8.4522586292194696E-2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15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15">
      <c r="A40" s="4"/>
      <c r="B40" s="94" t="s">
        <v>93</v>
      </c>
      <c r="C40" s="154">
        <f t="shared" ref="C40:M40" si="34">IF(C6="","",C8/C6)</f>
        <v>0.51809005330611324</v>
      </c>
      <c r="D40" s="154">
        <f t="shared" si="34"/>
        <v>0.5062690613351406</v>
      </c>
      <c r="E40" s="154">
        <f t="shared" si="34"/>
        <v>0.50239906377998833</v>
      </c>
      <c r="F40" s="154">
        <f t="shared" si="34"/>
        <v>0.49980976537729865</v>
      </c>
      <c r="G40" s="154">
        <f t="shared" si="34"/>
        <v>0.50517761174465858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15">
      <c r="A41" s="4"/>
      <c r="B41" s="93" t="s">
        <v>218</v>
      </c>
      <c r="C41" s="151">
        <f t="shared" ref="C41:M41" si="35">IF(C6="","",(C10+MAX(C11,0))/C6)</f>
        <v>0.23001020755358967</v>
      </c>
      <c r="D41" s="151">
        <f t="shared" si="35"/>
        <v>0.23720772619451033</v>
      </c>
      <c r="E41" s="151">
        <f t="shared" si="35"/>
        <v>0.23815096547688708</v>
      </c>
      <c r="F41" s="151">
        <f t="shared" si="35"/>
        <v>0.236144578313253</v>
      </c>
      <c r="G41" s="151">
        <f t="shared" si="35"/>
        <v>0.22689736531655524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15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15">
      <c r="A43" s="4"/>
      <c r="B43" s="93" t="s">
        <v>116</v>
      </c>
      <c r="C43" s="151">
        <f t="shared" ref="C43:M43" si="37">IF(C6="","",MAX(C17,0)/C6)</f>
        <v>4.7975501871384822E-2</v>
      </c>
      <c r="D43" s="151">
        <f t="shared" si="37"/>
        <v>4.7667457359087312E-2</v>
      </c>
      <c r="E43" s="151">
        <f t="shared" si="37"/>
        <v>4.8566413107080167E-2</v>
      </c>
      <c r="F43" s="151">
        <f t="shared" si="37"/>
        <v>4.9968294229549778E-2</v>
      </c>
      <c r="G43" s="151">
        <f t="shared" si="37"/>
        <v>5.1120723554856466E-2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15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15">
      <c r="A45" s="4"/>
      <c r="B45" s="93" t="s">
        <v>220</v>
      </c>
      <c r="C45" s="151">
        <f t="shared" ref="C45:M45" si="39">IF(C6="","",ABS(MAX(C21,0)-MAX(C19,0))/C6)</f>
        <v>1.1341726210729272E-2</v>
      </c>
      <c r="D45" s="151">
        <f t="shared" si="39"/>
        <v>1.7960013554727212E-2</v>
      </c>
      <c r="E45" s="151">
        <f t="shared" si="39"/>
        <v>2.2820362785254535E-2</v>
      </c>
      <c r="F45" s="151">
        <f t="shared" si="39"/>
        <v>2.6886493341788206E-2</v>
      </c>
      <c r="G45" s="151">
        <f t="shared" si="39"/>
        <v>2.1103683313671517E-2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15">
      <c r="A46" s="4"/>
      <c r="B46" s="93" t="s">
        <v>118</v>
      </c>
      <c r="C46" s="151">
        <f t="shared" ref="C46:M46" si="40">IF(C6="","",C22/C6)</f>
        <v>0.19258251105818305</v>
      </c>
      <c r="D46" s="151">
        <f t="shared" si="40"/>
        <v>0.19089574155653452</v>
      </c>
      <c r="E46" s="151">
        <f t="shared" si="40"/>
        <v>0.18806319485078993</v>
      </c>
      <c r="F46" s="151">
        <f t="shared" si="40"/>
        <v>0.18719086873811033</v>
      </c>
      <c r="G46" s="151">
        <f t="shared" si="40"/>
        <v>0.19570061607025824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15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15">
      <c r="A48" s="4"/>
      <c r="B48" s="266" t="s">
        <v>251</v>
      </c>
      <c r="C48" s="267">
        <f t="shared" ref="C48:M48" si="41">IF(C6="","",C6/C27)</f>
        <v>0.32081650474838991</v>
      </c>
      <c r="D48" s="267">
        <f t="shared" si="41"/>
        <v>0.88335661544601873</v>
      </c>
      <c r="E48" s="267">
        <f t="shared" si="41"/>
        <v>0.83171111543702547</v>
      </c>
      <c r="F48" s="267">
        <f t="shared" si="41"/>
        <v>0.76308913190748084</v>
      </c>
      <c r="G48" s="267">
        <f t="shared" si="41"/>
        <v>0.68427661673692708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15">
      <c r="A49" s="4"/>
      <c r="B49" s="93" t="s">
        <v>252</v>
      </c>
      <c r="C49" s="151">
        <f t="shared" ref="C49:M49" si="42">IF(C28="","",C28/C6)</f>
        <v>7.576273108767155E-2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15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15">
      <c r="A51" s="4"/>
      <c r="B51" s="93" t="s">
        <v>243</v>
      </c>
      <c r="C51" s="151">
        <f t="shared" ref="C51:M51" si="44">IF(D6="","",C16/(C6-D6))</f>
        <v>3.7222222222222223</v>
      </c>
      <c r="D51" s="151">
        <f t="shared" si="44"/>
        <v>-0.61038961038961037</v>
      </c>
      <c r="E51" s="151">
        <f t="shared" si="44"/>
        <v>-0.42424242424242425</v>
      </c>
      <c r="F51" s="151">
        <f t="shared" si="44"/>
        <v>-0.4921875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15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4" t="s">
        <v>247</v>
      </c>
      <c r="C53" s="154">
        <f t="shared" ref="C53:M53" si="45">IF(C34="","",(C34-C35)/C27)</f>
        <v>0.39511698140668777</v>
      </c>
      <c r="D53" s="154">
        <f t="shared" si="45"/>
        <v>-0.33436439832368786</v>
      </c>
      <c r="E53" s="154">
        <f t="shared" si="45"/>
        <v>-0.25549931866848358</v>
      </c>
      <c r="F53" s="154">
        <f t="shared" si="45"/>
        <v>-0.22113616568276395</v>
      </c>
      <c r="G53" s="154">
        <f t="shared" si="45"/>
        <v>-6.6014889227733423E-2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15">
      <c r="A54" s="4"/>
      <c r="B54" s="93" t="s">
        <v>115</v>
      </c>
      <c r="C54" s="155">
        <f t="shared" ref="C54:M54" si="46">IF(OR(C22="",C33=""),"",IF(C33&lt;=0,"-",C22/C33))</f>
        <v>0.15717856151069148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15">
      <c r="A55" s="4"/>
      <c r="B55" s="93" t="s">
        <v>117</v>
      </c>
      <c r="C55" s="151">
        <f t="shared" ref="C55:M55" si="47">IF(C22="","",IF(MAX(C17,0)&lt;=0,"-",C17/C22))</f>
        <v>0.24911660777385158</v>
      </c>
      <c r="D55" s="151">
        <f t="shared" si="47"/>
        <v>0.24970414201183433</v>
      </c>
      <c r="E55" s="151">
        <f t="shared" si="47"/>
        <v>0.25824517734909769</v>
      </c>
      <c r="F55" s="151">
        <f t="shared" si="47"/>
        <v>0.26693766937669378</v>
      </c>
      <c r="G55" s="151">
        <f t="shared" si="47"/>
        <v>0.26121902210314801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15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15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15">
      <c r="A58" s="4"/>
      <c r="B58" s="266" t="s">
        <v>249</v>
      </c>
      <c r="C58" s="269">
        <f t="shared" ref="C58:M58" si="49">IF(C14="","",C14/(C34-C35))</f>
        <v>0.20453080394143108</v>
      </c>
      <c r="D58" s="269">
        <f t="shared" si="49"/>
        <v>-0.67770814682184422</v>
      </c>
      <c r="E58" s="269">
        <f t="shared" si="49"/>
        <v>-0.84457142857142853</v>
      </c>
      <c r="F58" s="269">
        <f t="shared" si="49"/>
        <v>-0.91115973741794309</v>
      </c>
      <c r="G58" s="269">
        <f t="shared" si="49"/>
        <v>-2.777173913043478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15">
      <c r="A59" s="4"/>
      <c r="B59" s="266" t="s">
        <v>250</v>
      </c>
      <c r="C59" s="269">
        <f t="shared" ref="C59:M59" si="50">IF(C22="","",C22/(C34-C35))</f>
        <v>0.15636798968597476</v>
      </c>
      <c r="D59" s="269">
        <f t="shared" si="50"/>
        <v>-0.50432706654729931</v>
      </c>
      <c r="E59" s="269">
        <f t="shared" si="50"/>
        <v>-0.61219047619047617</v>
      </c>
      <c r="F59" s="269">
        <f t="shared" si="50"/>
        <v>-0.64595185995623627</v>
      </c>
      <c r="G59" s="269">
        <f t="shared" si="50"/>
        <v>-2.0285326086956523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72" zoomScaleNormal="100" workbookViewId="0">
      <selection activeCell="D99" sqref="D9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15">
      <c r="B3" s="3" t="s">
        <v>20</v>
      </c>
      <c r="C3" s="86"/>
      <c r="D3" s="202">
        <f>Inputs!C41</f>
        <v>10859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10859</v>
      </c>
      <c r="K3" s="24"/>
    </row>
    <row r="4" spans="1:11" ht="15" customHeight="1" x14ac:dyDescent="0.15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15">
      <c r="C5" s="86"/>
      <c r="D5" s="86"/>
      <c r="E5" s="11" t="s">
        <v>23</v>
      </c>
      <c r="H5" s="1" t="s">
        <v>24</v>
      </c>
      <c r="I5" s="63">
        <f>C28/I28</f>
        <v>0.37014047696831098</v>
      </c>
      <c r="K5" s="24"/>
    </row>
    <row r="6" spans="1:11" ht="15" customHeight="1" thickBot="1" x14ac:dyDescent="0.2">
      <c r="B6" s="20" t="str">
        <f>"Adj. Net Asset in "&amp;Dashboard!G6</f>
        <v>Adj. Net Asset in USD</v>
      </c>
      <c r="C6" s="86"/>
      <c r="D6" s="69">
        <f>(E49-I49-E53)</f>
        <v>-15256.6</v>
      </c>
      <c r="E6" s="56">
        <f>1-D6/D3</f>
        <v>2.404972833594254</v>
      </c>
      <c r="F6" s="86"/>
      <c r="G6" s="86"/>
      <c r="H6" s="1" t="s">
        <v>25</v>
      </c>
      <c r="I6" s="63">
        <f>(C24+C25)/I28</f>
        <v>0.36229990199281281</v>
      </c>
      <c r="J6" s="86"/>
      <c r="K6" s="24"/>
    </row>
    <row r="7" spans="1:11" ht="15" customHeight="1" thickTop="1" x14ac:dyDescent="0.15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>
        <f>C24/I28</f>
        <v>0.25971904606337798</v>
      </c>
      <c r="J7" s="86"/>
      <c r="K7" s="33"/>
    </row>
    <row r="8" spans="1:11" ht="15" customHeight="1" x14ac:dyDescent="0.15">
      <c r="C8" s="86"/>
      <c r="D8" s="86"/>
      <c r="E8" s="86"/>
      <c r="K8" s="24"/>
    </row>
    <row r="9" spans="1:11" ht="15" customHeight="1" x14ac:dyDescent="0.2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15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15">
      <c r="B11" s="3" t="s">
        <v>33</v>
      </c>
      <c r="C11" s="40">
        <f>Inputs!C48</f>
        <v>127</v>
      </c>
      <c r="D11" s="195">
        <f>Inputs!D48</f>
        <v>0.9</v>
      </c>
      <c r="E11" s="87">
        <f t="shared" ref="E11:E22" si="0">C11*D11</f>
        <v>114.3</v>
      </c>
      <c r="F11" s="111"/>
      <c r="G11" s="86"/>
      <c r="H11" s="3" t="s">
        <v>34</v>
      </c>
      <c r="I11" s="40">
        <f>Inputs!C73</f>
        <v>666</v>
      </c>
      <c r="J11" s="86"/>
      <c r="K11" s="24"/>
    </row>
    <row r="12" spans="1:11" ht="14" x14ac:dyDescent="0.15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4" x14ac:dyDescent="0.15">
      <c r="B13" s="3" t="s">
        <v>111</v>
      </c>
      <c r="C13" s="40">
        <f>Inputs!C50</f>
        <v>668</v>
      </c>
      <c r="D13" s="195">
        <f>Inputs!D50</f>
        <v>0.6</v>
      </c>
      <c r="E13" s="87">
        <f t="shared" si="0"/>
        <v>400.8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4" x14ac:dyDescent="0.15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4" x14ac:dyDescent="0.15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666</v>
      </c>
      <c r="J15" s="86"/>
    </row>
    <row r="16" spans="1:11" ht="14" x14ac:dyDescent="0.15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4" x14ac:dyDescent="0.15">
      <c r="B17" s="3" t="s">
        <v>112</v>
      </c>
      <c r="C17" s="40">
        <f>Inputs!C54</f>
        <v>314</v>
      </c>
      <c r="D17" s="195">
        <f>Inputs!D54</f>
        <v>0.1</v>
      </c>
      <c r="E17" s="87">
        <f t="shared" si="0"/>
        <v>31.400000000000002</v>
      </c>
      <c r="F17" s="111"/>
      <c r="G17" s="86"/>
      <c r="H17" s="3"/>
      <c r="I17" s="40"/>
      <c r="J17" s="86"/>
    </row>
    <row r="18" spans="2:10" ht="14" x14ac:dyDescent="0.15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4" x14ac:dyDescent="0.15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4" x14ac:dyDescent="0.15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15">
      <c r="B22" s="3" t="s">
        <v>46</v>
      </c>
      <c r="C22" s="40">
        <f>Inputs!C59</f>
        <v>24</v>
      </c>
      <c r="D22" s="195">
        <f>Inputs!D59</f>
        <v>0.05</v>
      </c>
      <c r="E22" s="87">
        <f t="shared" si="0"/>
        <v>1.2000000000000002</v>
      </c>
      <c r="F22" s="111"/>
      <c r="G22" s="86"/>
      <c r="H22" s="3" t="s">
        <v>40</v>
      </c>
      <c r="I22" s="52">
        <f>I28-SUM(I11:I14)</f>
        <v>2395</v>
      </c>
    </row>
    <row r="23" spans="2:10" ht="15" customHeight="1" x14ac:dyDescent="0.15">
      <c r="C23" s="86"/>
      <c r="D23" s="86"/>
      <c r="E23" s="86"/>
      <c r="F23" s="110" t="s">
        <v>47</v>
      </c>
      <c r="G23" s="86"/>
    </row>
    <row r="24" spans="2:10" ht="15" customHeight="1" x14ac:dyDescent="0.15">
      <c r="B24" s="23" t="s">
        <v>48</v>
      </c>
      <c r="C24" s="61">
        <f>SUM(C11:C14)</f>
        <v>795</v>
      </c>
      <c r="D24" s="62">
        <f>IF(E24=0,0,E24/C24)</f>
        <v>0.64792452830188685</v>
      </c>
      <c r="E24" s="87">
        <f>SUM(E11:E14)</f>
        <v>515.1</v>
      </c>
      <c r="F24" s="112">
        <f>E24/$E$28</f>
        <v>0.9404783640679204</v>
      </c>
      <c r="G24" s="86"/>
    </row>
    <row r="25" spans="2:10" ht="15" customHeight="1" x14ac:dyDescent="0.15">
      <c r="B25" s="23" t="s">
        <v>50</v>
      </c>
      <c r="C25" s="61">
        <f>SUM(C15:C17)</f>
        <v>314</v>
      </c>
      <c r="D25" s="62">
        <f>IF(E25=0,0,E25/C25)</f>
        <v>0.1</v>
      </c>
      <c r="E25" s="87">
        <f>SUM(E15:E17)</f>
        <v>31.400000000000002</v>
      </c>
      <c r="F25" s="112">
        <f>E25/$E$28</f>
        <v>5.733065546832207E-2</v>
      </c>
      <c r="G25" s="86"/>
      <c r="H25" s="23" t="s">
        <v>51</v>
      </c>
      <c r="I25" s="63">
        <f>E28/I28</f>
        <v>0.17892845475334859</v>
      </c>
    </row>
    <row r="26" spans="2:10" ht="15" customHeight="1" x14ac:dyDescent="0.15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0.77342342342342341</v>
      </c>
      <c r="J26" s="8" t="str">
        <f>IF(I26&lt;1,"Liquidity Problem!","")</f>
        <v>Liquidity Problem!</v>
      </c>
    </row>
    <row r="27" spans="2:10" ht="15" customHeight="1" x14ac:dyDescent="0.15">
      <c r="B27" s="23" t="s">
        <v>54</v>
      </c>
      <c r="C27" s="77">
        <f>C21+C22</f>
        <v>24</v>
      </c>
      <c r="D27" s="62">
        <f>IF(E27=0,0,E27/C27)</f>
        <v>5.000000000000001E-2</v>
      </c>
      <c r="E27" s="87">
        <f>E21+E22</f>
        <v>1.2000000000000002</v>
      </c>
      <c r="F27" s="112">
        <f>E27/$E$28</f>
        <v>2.1909804637575314E-3</v>
      </c>
      <c r="G27" s="86"/>
      <c r="H27" s="23" t="s">
        <v>55</v>
      </c>
      <c r="I27" s="63">
        <f>(E25+E24)/$I$28</f>
        <v>0.17853642600457367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14</v>
      </c>
      <c r="C28" s="79">
        <f>SUM(C11:C22)</f>
        <v>1133</v>
      </c>
      <c r="D28" s="57">
        <f>E28/C28</f>
        <v>0.48340688437775819</v>
      </c>
      <c r="E28" s="70">
        <f>SUM(E24:E27)</f>
        <v>547.70000000000005</v>
      </c>
      <c r="F28" s="111"/>
      <c r="G28" s="86"/>
      <c r="H28" s="78" t="s">
        <v>15</v>
      </c>
      <c r="I28" s="202">
        <f>Inputs!C77</f>
        <v>3061</v>
      </c>
      <c r="J28" s="32">
        <f>IF(J26="",1,0)+IF(J27="",1,0)+IF(J46="",1,0)+IF(J47="",1,0)</f>
        <v>0</v>
      </c>
    </row>
    <row r="29" spans="2:10" ht="15" customHeight="1" x14ac:dyDescent="0.15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15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10137</v>
      </c>
      <c r="J30" s="86"/>
    </row>
    <row r="31" spans="2:10" ht="15" customHeight="1" x14ac:dyDescent="0.15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15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4" x14ac:dyDescent="0.15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4" x14ac:dyDescent="0.15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10137</v>
      </c>
      <c r="J34" s="86"/>
    </row>
    <row r="35" spans="2:10" ht="14" x14ac:dyDescent="0.15">
      <c r="B35" s="3" t="s">
        <v>65</v>
      </c>
      <c r="C35" s="40">
        <f>Inputs!C65</f>
        <v>1079</v>
      </c>
      <c r="D35" s="195">
        <f>Inputs!D65</f>
        <v>0.1</v>
      </c>
      <c r="E35" s="87">
        <f t="shared" si="1"/>
        <v>107.9</v>
      </c>
      <c r="F35" s="132" t="str">
        <f>Inputs!E65</f>
        <v>N</v>
      </c>
      <c r="G35" s="30">
        <f>IF(F35="Y",0,1)</f>
        <v>1</v>
      </c>
      <c r="J35" s="86"/>
    </row>
    <row r="36" spans="2:10" ht="14" x14ac:dyDescent="0.15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4" x14ac:dyDescent="0.15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15">
      <c r="B38" s="3" t="s">
        <v>113</v>
      </c>
      <c r="C38" s="40">
        <f>Inputs!C68</f>
        <v>2013</v>
      </c>
      <c r="D38" s="195">
        <f>Inputs!D68</f>
        <v>0.1</v>
      </c>
      <c r="E38" s="87">
        <f t="shared" si="1"/>
        <v>201.3</v>
      </c>
      <c r="F38" s="111"/>
      <c r="G38" s="86"/>
      <c r="H38" s="86"/>
      <c r="I38" s="86"/>
    </row>
    <row r="39" spans="2:10" ht="14" x14ac:dyDescent="0.15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15">
      <c r="B40" s="3" t="s">
        <v>69</v>
      </c>
      <c r="C40" s="40">
        <f>Inputs!C70</f>
        <v>10210</v>
      </c>
      <c r="D40" s="195">
        <f>Inputs!D70</f>
        <v>0.05</v>
      </c>
      <c r="E40" s="87">
        <f t="shared" si="1"/>
        <v>510.5</v>
      </c>
      <c r="F40" s="111"/>
      <c r="G40" s="86"/>
      <c r="H40" s="86"/>
      <c r="I40" s="86"/>
    </row>
    <row r="41" spans="2:10" ht="15" customHeight="1" x14ac:dyDescent="0.15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15">
      <c r="B42" s="3" t="s">
        <v>71</v>
      </c>
      <c r="C42" s="40">
        <f>Inputs!C72</f>
        <v>13048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3426</v>
      </c>
    </row>
    <row r="43" spans="2:10" ht="15" customHeight="1" x14ac:dyDescent="0.15">
      <c r="C43" s="86"/>
      <c r="D43" s="86"/>
      <c r="E43" s="86"/>
      <c r="F43" s="86"/>
      <c r="G43" s="86"/>
      <c r="H43" s="86"/>
      <c r="I43" s="86"/>
    </row>
    <row r="44" spans="2:10" ht="15" customHeight="1" x14ac:dyDescent="0.15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15">
      <c r="B45" s="23" t="s">
        <v>74</v>
      </c>
      <c r="C45" s="61">
        <f>SUM(C32:C35)</f>
        <v>1079</v>
      </c>
      <c r="D45" s="62">
        <f>IF(E45=0,0,E45/C45)</f>
        <v>0.1</v>
      </c>
      <c r="E45" s="87">
        <f>SUM(E32:E35)</f>
        <v>107.9</v>
      </c>
      <c r="F45" s="72"/>
      <c r="G45" s="86"/>
    </row>
    <row r="46" spans="2:10" ht="15" customHeight="1" x14ac:dyDescent="0.15">
      <c r="B46" s="23" t="s">
        <v>75</v>
      </c>
      <c r="C46" s="61">
        <f>C36+C37+C38+C39</f>
        <v>2013</v>
      </c>
      <c r="D46" s="62">
        <f>IF(E46=0,0,E46/C46)</f>
        <v>0.1</v>
      </c>
      <c r="E46" s="87">
        <f>E36+E37+E38+E39</f>
        <v>201.3</v>
      </c>
      <c r="F46" s="86"/>
      <c r="G46" s="86"/>
      <c r="H46" s="23" t="s">
        <v>76</v>
      </c>
      <c r="I46" s="63">
        <f>(E44+E24)/E64</f>
        <v>4.7681199666759239E-2</v>
      </c>
      <c r="J46" s="8" t="str">
        <f>IF(I46&lt;1,"Liquidity Problem!","")</f>
        <v>Liquidity Problem!</v>
      </c>
    </row>
    <row r="47" spans="2:10" ht="15" customHeight="1" x14ac:dyDescent="0.15">
      <c r="B47" s="23" t="s">
        <v>77</v>
      </c>
      <c r="C47" s="61">
        <f>C40+C41+C42</f>
        <v>23258</v>
      </c>
      <c r="D47" s="62">
        <f>IF(E47=0,0,E47/C47)</f>
        <v>2.1949436752945223E-2</v>
      </c>
      <c r="E47" s="87">
        <f>E40+E41+E42</f>
        <v>510.5</v>
      </c>
      <c r="F47" s="86"/>
      <c r="G47" s="86"/>
      <c r="H47" s="23" t="s">
        <v>78</v>
      </c>
      <c r="I47" s="63">
        <f>(E44+E45+E24+E25)/$I$49</f>
        <v>3.9364773820981712E-2</v>
      </c>
      <c r="J47" s="8" t="str">
        <f>IF(OR(I47&lt;0.5,C49&lt;I49),"Liquidity Issue!","")</f>
        <v>Liquidity Issue!</v>
      </c>
    </row>
    <row r="48" spans="2:10" ht="15" customHeight="1" thickBot="1" x14ac:dyDescent="0.2">
      <c r="B48" s="80" t="s">
        <v>79</v>
      </c>
      <c r="C48" s="279">
        <f>SUM(C30:C42)</f>
        <v>26350</v>
      </c>
      <c r="D48" s="81">
        <f>E48/C48</f>
        <v>3.1108159392789377E-2</v>
      </c>
      <c r="E48" s="76">
        <f>SUM(E30:E42)</f>
        <v>819.7</v>
      </c>
      <c r="F48" s="86"/>
      <c r="G48" s="86"/>
      <c r="H48" s="80" t="s">
        <v>80</v>
      </c>
      <c r="I48" s="277">
        <f>I49-I28</f>
        <v>13563</v>
      </c>
      <c r="J48" s="8"/>
    </row>
    <row r="49" spans="2:11" ht="15" customHeight="1" thickTop="1" x14ac:dyDescent="0.15">
      <c r="B49" s="3" t="s">
        <v>13</v>
      </c>
      <c r="C49" s="61">
        <f>Inputs!C41+Inputs!C37</f>
        <v>27483</v>
      </c>
      <c r="D49" s="56">
        <f>E49/C49</f>
        <v>4.9754393625150099E-2</v>
      </c>
      <c r="E49" s="87">
        <f>E28+E48</f>
        <v>1367.4</v>
      </c>
      <c r="F49" s="86"/>
      <c r="G49" s="86"/>
      <c r="H49" s="3" t="s">
        <v>81</v>
      </c>
      <c r="I49" s="40">
        <f>Inputs!C37</f>
        <v>16624</v>
      </c>
      <c r="J49" s="86"/>
    </row>
    <row r="50" spans="2:11" ht="15" customHeight="1" x14ac:dyDescent="0.15">
      <c r="C50" s="86"/>
      <c r="D50" s="86"/>
      <c r="E50" s="86"/>
      <c r="I50" s="86"/>
    </row>
    <row r="51" spans="2:11" ht="14" x14ac:dyDescent="0.15">
      <c r="B51" s="10" t="s">
        <v>82</v>
      </c>
      <c r="C51" s="31"/>
      <c r="D51" s="18"/>
    </row>
    <row r="52" spans="2:11" ht="14" x14ac:dyDescent="0.15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4" x14ac:dyDescent="0.15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15">
      <c r="C54" s="86"/>
      <c r="D54" s="86"/>
      <c r="E54" s="86"/>
      <c r="F54" s="86"/>
      <c r="G54" s="86"/>
      <c r="I54" s="86"/>
      <c r="K54" s="33"/>
    </row>
    <row r="55" spans="2:11" ht="14" x14ac:dyDescent="0.15">
      <c r="B55" s="25" t="s">
        <v>141</v>
      </c>
      <c r="C55" s="3"/>
      <c r="E55" s="123"/>
      <c r="F55" s="3"/>
      <c r="G55" s="3"/>
      <c r="I55" s="86"/>
      <c r="K55" s="33"/>
    </row>
    <row r="56" spans="2:11" ht="14" x14ac:dyDescent="0.15">
      <c r="B56" s="20" t="s">
        <v>85</v>
      </c>
      <c r="C56" s="86"/>
      <c r="D56" s="297">
        <f>I15+I34</f>
        <v>10803</v>
      </c>
      <c r="E56" s="295"/>
      <c r="F56" s="3"/>
      <c r="G56" s="3"/>
      <c r="I56" s="56"/>
      <c r="K56" s="33"/>
    </row>
    <row r="57" spans="2:11" ht="14" x14ac:dyDescent="0.15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15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15">
      <c r="C59" s="86"/>
      <c r="D59" s="86"/>
      <c r="E59" s="86"/>
      <c r="F59" s="86"/>
      <c r="G59" s="86"/>
      <c r="I59" s="86"/>
      <c r="K59" s="33"/>
    </row>
    <row r="60" spans="2:11" ht="14" x14ac:dyDescent="0.15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15">
      <c r="B61" s="19" t="s">
        <v>90</v>
      </c>
      <c r="C61" s="68">
        <f>C14+C15+(C19*G19)+(C20*G20)+C31+C32+(C35*G35)+(C36*G36)+(C37*G37)</f>
        <v>1079</v>
      </c>
      <c r="D61" s="56">
        <f t="shared" ref="D61:D70" si="2">IF(E61=0,0,E61/C61)</f>
        <v>0.1</v>
      </c>
      <c r="E61" s="52">
        <f>E14+E15+(E19*G19)+(E20*G20)+E31+E32+(E35*G35)+(E36*G36)+(E37*G37)</f>
        <v>107.9</v>
      </c>
      <c r="F61" s="86"/>
      <c r="G61" s="86"/>
      <c r="I61" s="86"/>
      <c r="K61" s="33"/>
    </row>
    <row r="62" spans="2:11" ht="14" x14ac:dyDescent="0.15">
      <c r="B62" s="35" t="s">
        <v>133</v>
      </c>
      <c r="C62" s="115">
        <f>C11+C30</f>
        <v>127</v>
      </c>
      <c r="D62" s="106">
        <f t="shared" si="2"/>
        <v>0.9</v>
      </c>
      <c r="E62" s="116">
        <f>E11+E30</f>
        <v>114.3</v>
      </c>
      <c r="F62" s="86"/>
      <c r="G62" s="86"/>
      <c r="I62" s="86"/>
      <c r="K62" s="33"/>
    </row>
    <row r="63" spans="2:11" ht="14" x14ac:dyDescent="0.15">
      <c r="B63" s="19" t="s">
        <v>135</v>
      </c>
      <c r="C63" s="68">
        <f>C61+C62</f>
        <v>1206</v>
      </c>
      <c r="D63" s="29">
        <f t="shared" si="2"/>
        <v>0.18424543946932007</v>
      </c>
      <c r="E63" s="61">
        <f>E61+E62</f>
        <v>222.2</v>
      </c>
      <c r="F63" s="86"/>
      <c r="G63" s="86"/>
      <c r="I63" s="86"/>
      <c r="K63" s="33"/>
    </row>
    <row r="64" spans="2:11" thickBot="1" x14ac:dyDescent="0.2">
      <c r="B64" s="119" t="s">
        <v>142</v>
      </c>
      <c r="C64" s="203"/>
      <c r="D64" s="203"/>
      <c r="E64" s="69">
        <f>D56+D57+D58</f>
        <v>10803</v>
      </c>
      <c r="F64" s="86"/>
      <c r="G64" s="86"/>
      <c r="I64" s="86"/>
      <c r="K64" s="33"/>
    </row>
    <row r="65" spans="1:11" thickTop="1" x14ac:dyDescent="0.15">
      <c r="B65" s="3" t="s">
        <v>136</v>
      </c>
      <c r="C65" s="68">
        <f>C63-E64</f>
        <v>-9597</v>
      </c>
      <c r="D65" s="29">
        <f t="shared" si="2"/>
        <v>1.1025112014171095</v>
      </c>
      <c r="E65" s="61">
        <f>E63-E64</f>
        <v>-10580.8</v>
      </c>
      <c r="F65" s="86"/>
      <c r="G65" s="86"/>
      <c r="I65" s="86"/>
      <c r="K65" s="33"/>
    </row>
    <row r="66" spans="1:11" ht="14" x14ac:dyDescent="0.15">
      <c r="B66" s="3"/>
      <c r="C66" s="68"/>
      <c r="D66" s="29"/>
      <c r="E66" s="61"/>
      <c r="F66" s="86"/>
      <c r="G66" s="86"/>
      <c r="I66" s="86"/>
      <c r="K66" s="33"/>
    </row>
    <row r="67" spans="1:11" ht="14" x14ac:dyDescent="0.15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4" x14ac:dyDescent="0.15">
      <c r="B68" s="19" t="s">
        <v>134</v>
      </c>
      <c r="C68" s="68">
        <f>C49-C63</f>
        <v>26277</v>
      </c>
      <c r="D68" s="29">
        <f t="shared" si="2"/>
        <v>4.3581839631617006E-2</v>
      </c>
      <c r="E68" s="68">
        <f>E49-E63</f>
        <v>1145.2</v>
      </c>
      <c r="F68" s="86"/>
      <c r="G68" s="86"/>
      <c r="I68" s="86"/>
      <c r="K68" s="33"/>
    </row>
    <row r="69" spans="1:11" thickBot="1" x14ac:dyDescent="0.2">
      <c r="B69" s="119" t="s">
        <v>143</v>
      </c>
      <c r="C69" s="203"/>
      <c r="D69" s="203"/>
      <c r="E69" s="124">
        <f>I49-E64</f>
        <v>5821</v>
      </c>
      <c r="F69" s="86"/>
      <c r="G69" s="86"/>
      <c r="I69" s="86"/>
      <c r="K69" s="33"/>
    </row>
    <row r="70" spans="1:11" thickTop="1" x14ac:dyDescent="0.15">
      <c r="B70" s="19" t="s">
        <v>137</v>
      </c>
      <c r="C70" s="68">
        <f>C68-E69</f>
        <v>20456</v>
      </c>
      <c r="D70" s="29">
        <f t="shared" si="2"/>
        <v>-0.228578412201799</v>
      </c>
      <c r="E70" s="68">
        <f>E68-E69</f>
        <v>-4675.8</v>
      </c>
      <c r="F70" s="86"/>
      <c r="G70" s="86"/>
      <c r="I70" s="86"/>
      <c r="K70" s="33"/>
    </row>
    <row r="72" spans="1:11" ht="15" customHeight="1" x14ac:dyDescent="0.15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15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15">
      <c r="B74" s="3" t="s">
        <v>120</v>
      </c>
      <c r="C74" s="77">
        <f>Data!C6</f>
        <v>8817</v>
      </c>
      <c r="D74" s="204"/>
      <c r="E74" s="233">
        <f>Inputs!E91</f>
        <v>8817</v>
      </c>
      <c r="F74" s="204"/>
      <c r="H74" s="233">
        <f>Inputs!F91</f>
        <v>8817</v>
      </c>
      <c r="I74" s="204"/>
      <c r="K74" s="24"/>
    </row>
    <row r="75" spans="1:11" ht="15" customHeight="1" x14ac:dyDescent="0.15">
      <c r="B75" s="103" t="s">
        <v>101</v>
      </c>
      <c r="C75" s="77">
        <f>Data!C8</f>
        <v>4568</v>
      </c>
      <c r="D75" s="156">
        <f>C75/$C$74</f>
        <v>0.51809005330611324</v>
      </c>
      <c r="E75" s="233">
        <f>Inputs!E92</f>
        <v>4568</v>
      </c>
      <c r="F75" s="157">
        <f>E75/E74</f>
        <v>0.51809005330611324</v>
      </c>
      <c r="H75" s="233">
        <f>Inputs!F92</f>
        <v>4568</v>
      </c>
      <c r="I75" s="157">
        <f>H75/$H$74</f>
        <v>0.51809005330611324</v>
      </c>
      <c r="K75" s="24"/>
    </row>
    <row r="76" spans="1:11" ht="15" customHeight="1" x14ac:dyDescent="0.15">
      <c r="B76" s="35" t="s">
        <v>91</v>
      </c>
      <c r="C76" s="158">
        <f>C74-C75</f>
        <v>4249</v>
      </c>
      <c r="D76" s="205"/>
      <c r="E76" s="159">
        <f>E74-E75</f>
        <v>4249</v>
      </c>
      <c r="F76" s="205"/>
      <c r="H76" s="159">
        <f>H74-H75</f>
        <v>4249</v>
      </c>
      <c r="I76" s="205"/>
      <c r="K76" s="24"/>
    </row>
    <row r="77" spans="1:11" ht="15" customHeight="1" x14ac:dyDescent="0.15">
      <c r="B77" s="103" t="s">
        <v>229</v>
      </c>
      <c r="C77" s="77">
        <f>Data!C10+MAX(Data!C11,0)</f>
        <v>2028</v>
      </c>
      <c r="D77" s="156">
        <f>C77/$C$74</f>
        <v>0.23001020755358967</v>
      </c>
      <c r="E77" s="233">
        <f>Inputs!E93</f>
        <v>2028</v>
      </c>
      <c r="F77" s="157">
        <f>E77/E74</f>
        <v>0.23001020755358967</v>
      </c>
      <c r="H77" s="233">
        <f>Inputs!F93</f>
        <v>2028</v>
      </c>
      <c r="I77" s="157">
        <f>H77/$H$74</f>
        <v>0.23001020755358967</v>
      </c>
      <c r="K77" s="24"/>
    </row>
    <row r="78" spans="1:11" ht="15" customHeight="1" x14ac:dyDescent="0.15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15">
      <c r="B79" s="251" t="s">
        <v>216</v>
      </c>
      <c r="C79" s="252">
        <f>C76-C77-C78</f>
        <v>2221</v>
      </c>
      <c r="D79" s="253">
        <f>C79/C74</f>
        <v>0.25189973914029717</v>
      </c>
      <c r="E79" s="254">
        <f>E76-E77-E78</f>
        <v>2221</v>
      </c>
      <c r="F79" s="253">
        <f>E79/E74</f>
        <v>0.25189973914029717</v>
      </c>
      <c r="G79" s="255"/>
      <c r="H79" s="254">
        <f>H76-H77-H78</f>
        <v>2221</v>
      </c>
      <c r="I79" s="253">
        <f>H79/H74</f>
        <v>0.25189973914029717</v>
      </c>
      <c r="K79" s="24"/>
    </row>
    <row r="80" spans="1:11" ht="15" customHeight="1" x14ac:dyDescent="0.15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15">
      <c r="B81" s="103" t="s">
        <v>237</v>
      </c>
      <c r="C81" s="77">
        <f>MAX(Data!C17,0)</f>
        <v>423</v>
      </c>
      <c r="D81" s="156">
        <f>C81/$C$74</f>
        <v>4.7975501871384822E-2</v>
      </c>
      <c r="E81" s="177">
        <f>E74*F81</f>
        <v>423</v>
      </c>
      <c r="F81" s="157">
        <f>I81</f>
        <v>4.7975501871384822E-2</v>
      </c>
      <c r="H81" s="233">
        <f>Inputs!F94</f>
        <v>423</v>
      </c>
      <c r="I81" s="157">
        <f>H81/$H$74</f>
        <v>4.7975501871384822E-2</v>
      </c>
      <c r="K81" s="24"/>
    </row>
    <row r="82" spans="1:11" ht="15" customHeight="1" x14ac:dyDescent="0.15">
      <c r="B82" s="28" t="s">
        <v>228</v>
      </c>
      <c r="C82" s="77">
        <f>ABS(MAX(Data!C21,0)-MAX(Data!C19,0))</f>
        <v>100</v>
      </c>
      <c r="D82" s="156">
        <f>C82/$C$74</f>
        <v>1.1341726210729272E-2</v>
      </c>
      <c r="E82" s="233">
        <f>Inputs!E95</f>
        <v>100</v>
      </c>
      <c r="F82" s="157">
        <f>E82/E74</f>
        <v>1.1341726210729272E-2</v>
      </c>
      <c r="H82" s="233">
        <f>Inputs!F95</f>
        <v>100</v>
      </c>
      <c r="I82" s="157">
        <f>H82/$H$74</f>
        <v>1.1341726210729272E-2</v>
      </c>
      <c r="K82" s="24"/>
    </row>
    <row r="83" spans="1:11" ht="15" customHeight="1" thickBot="1" x14ac:dyDescent="0.2">
      <c r="B83" s="104" t="s">
        <v>119</v>
      </c>
      <c r="C83" s="160">
        <f>C79-C81-C82-C80</f>
        <v>1698</v>
      </c>
      <c r="D83" s="161">
        <f>C83/$C$74</f>
        <v>0.19258251105818305</v>
      </c>
      <c r="E83" s="162">
        <f>E79-E81-E82-E80</f>
        <v>1698</v>
      </c>
      <c r="F83" s="161">
        <f>E83/E74</f>
        <v>0.19258251105818305</v>
      </c>
      <c r="H83" s="162">
        <f>H79-H81-H82-H80</f>
        <v>1698</v>
      </c>
      <c r="I83" s="161">
        <f>H83/$H$74</f>
        <v>0.19258251105818305</v>
      </c>
      <c r="K83" s="24"/>
    </row>
    <row r="84" spans="1:11" ht="15" customHeight="1" thickTop="1" x14ac:dyDescent="0.15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15">
      <c r="B85" s="258" t="s">
        <v>155</v>
      </c>
      <c r="C85" s="252">
        <f>C83*(1-I84)</f>
        <v>1273.5</v>
      </c>
      <c r="D85" s="253">
        <f>C85/$C$74</f>
        <v>0.1444368832936373</v>
      </c>
      <c r="E85" s="259">
        <f>E83*(1-F84)</f>
        <v>1273.5</v>
      </c>
      <c r="F85" s="253">
        <f>E85/E74</f>
        <v>0.1444368832936373</v>
      </c>
      <c r="G85" s="255"/>
      <c r="H85" s="259">
        <f>H83*(1-I84)</f>
        <v>1273.5</v>
      </c>
      <c r="I85" s="253">
        <f>H85/$H$74</f>
        <v>0.1444368832936373</v>
      </c>
      <c r="K85" s="24"/>
    </row>
    <row r="86" spans="1:11" ht="15" customHeight="1" x14ac:dyDescent="0.15">
      <c r="B86" s="86" t="s">
        <v>151</v>
      </c>
      <c r="C86" s="164">
        <f>C85*Data!C4/Common_Shares</f>
        <v>3.7544002101119784</v>
      </c>
      <c r="D86" s="204"/>
      <c r="E86" s="165">
        <f>E85*Data!C4/Common_Shares</f>
        <v>3.7544002101119784</v>
      </c>
      <c r="F86" s="204"/>
      <c r="H86" s="165">
        <f>H85*Data!C4/Common_Shares</f>
        <v>3.7544002101119784</v>
      </c>
      <c r="I86" s="204"/>
      <c r="K86" s="24"/>
    </row>
    <row r="87" spans="1:11" ht="15" customHeight="1" x14ac:dyDescent="0.15">
      <c r="B87" s="86" t="s">
        <v>193</v>
      </c>
      <c r="C87" s="256">
        <f>C86*Exchange_Rate/Dashboard!G3</f>
        <v>0.16805730573464542</v>
      </c>
      <c r="D87" s="204"/>
      <c r="E87" s="257">
        <f>E86*Exchange_Rate/Dashboard!G3</f>
        <v>0.16805730573464542</v>
      </c>
      <c r="F87" s="204"/>
      <c r="H87" s="257">
        <f>H86*Exchange_Rate/Dashboard!G3</f>
        <v>0.16805730573464542</v>
      </c>
      <c r="I87" s="204"/>
      <c r="K87" s="24"/>
    </row>
    <row r="88" spans="1:11" ht="15" customHeight="1" x14ac:dyDescent="0.15">
      <c r="B88" s="85" t="s">
        <v>192</v>
      </c>
      <c r="C88" s="166">
        <f>Inputs!C44</f>
        <v>1.08</v>
      </c>
      <c r="D88" s="163">
        <f>C88/C86</f>
        <v>0.28766245992932865</v>
      </c>
      <c r="E88" s="167">
        <f>Inputs!E98</f>
        <v>1.08</v>
      </c>
      <c r="F88" s="163">
        <f>E88/E86</f>
        <v>0.28766245992932865</v>
      </c>
      <c r="H88" s="167">
        <f>Inputs!F98</f>
        <v>1.08</v>
      </c>
      <c r="I88" s="163">
        <f>H88/H86</f>
        <v>0.28766245992932865</v>
      </c>
      <c r="K88" s="24"/>
    </row>
    <row r="89" spans="1:11" ht="15" customHeight="1" x14ac:dyDescent="0.15">
      <c r="B89" s="86" t="s">
        <v>205</v>
      </c>
      <c r="C89" s="256">
        <f>C88*Exchange_Rate/Dashboard!G3</f>
        <v>4.8343777976723366E-2</v>
      </c>
      <c r="D89" s="204"/>
      <c r="E89" s="256">
        <f>E88*Exchange_Rate/Dashboard!G3</f>
        <v>4.8343777976723366E-2</v>
      </c>
      <c r="F89" s="204"/>
      <c r="H89" s="256">
        <f>H88*Exchange_Rate/Dashboard!G3</f>
        <v>4.8343777976723366E-2</v>
      </c>
      <c r="I89" s="204"/>
      <c r="K89" s="24"/>
    </row>
    <row r="90" spans="1:11" ht="15" customHeight="1" x14ac:dyDescent="0.15">
      <c r="B90" s="28"/>
      <c r="C90" s="87"/>
    </row>
    <row r="91" spans="1:11" ht="15" customHeight="1" x14ac:dyDescent="0.15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15">
      <c r="B92" s="10" t="s">
        <v>146</v>
      </c>
      <c r="C92" s="195" t="str">
        <f>Inputs!C15</f>
        <v>US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15">
      <c r="B93" s="1" t="str">
        <f>C92&amp;" Discount Rate"</f>
        <v>US Discount Rate</v>
      </c>
      <c r="C93" s="134">
        <f>IF(C92="CN",Dashboard!C17,IF(C92="US",Dashboard!C12,IF(C92="HK",Dashboard!D12,Dashboard!D17)))</f>
        <v>7.4999999999999997E-2</v>
      </c>
      <c r="D93" s="234">
        <f>Inputs!C86</f>
        <v>5</v>
      </c>
      <c r="E93" s="86" t="s">
        <v>194</v>
      </c>
      <c r="F93" s="142">
        <f>FV(E87,D93,0,-(E86/(C93-D94)))*Exchange_Rate</f>
        <v>148.42211861076797</v>
      </c>
      <c r="H93" s="86" t="s">
        <v>194</v>
      </c>
      <c r="I93" s="142">
        <f>FV(H87,D93,0,-(H86/(C93-D94)))*Exchange_Rate</f>
        <v>148.42211861076797</v>
      </c>
      <c r="K93" s="24"/>
    </row>
    <row r="94" spans="1:11" ht="15" customHeight="1" x14ac:dyDescent="0.15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24.864496870808406</v>
      </c>
      <c r="H94" s="86" t="s">
        <v>195</v>
      </c>
      <c r="I94" s="142">
        <f>FV(H89,D93,0,-(H88/(C93-D94)))*Exchange_Rate</f>
        <v>24.864496870808406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15">
      <c r="B97" s="1" t="s">
        <v>124</v>
      </c>
      <c r="C97" s="90">
        <f>H97*Common_Shares/Data!C4</f>
        <v>25030.401072040237</v>
      </c>
      <c r="D97" s="208"/>
      <c r="E97" s="121">
        <f>PV(C94,D93,0,-F93)</f>
        <v>73.792024376957173</v>
      </c>
      <c r="F97" s="208"/>
      <c r="H97" s="121">
        <f>PV(C94,D93,0,-I93)</f>
        <v>73.792024376957173</v>
      </c>
      <c r="I97" s="121">
        <f>PV(C93,D93,0,-I93)</f>
        <v>103.38470795002326</v>
      </c>
      <c r="K97" s="24"/>
    </row>
    <row r="98" spans="2:11" ht="15" customHeight="1" x14ac:dyDescent="0.15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2">
      <c r="B99" s="104" t="s">
        <v>139</v>
      </c>
      <c r="C99" s="107">
        <f>(E65+IF(E70&lt;0,E70,0))*Exchange_Rate</f>
        <v>-15256.599999999999</v>
      </c>
      <c r="D99" s="209"/>
      <c r="E99" s="143">
        <f>IF(H99&gt;0,H99*(1-C94),H99*(1+C94))</f>
        <v>-51.724609016437817</v>
      </c>
      <c r="F99" s="209"/>
      <c r="H99" s="143">
        <f>C99*Data!$C$4/Common_Shares</f>
        <v>-44.977920883858978</v>
      </c>
      <c r="I99" s="211"/>
      <c r="K99" s="24"/>
    </row>
    <row r="100" spans="2:11" ht="15" customHeight="1" thickTop="1" x14ac:dyDescent="0.15">
      <c r="B100" s="1" t="s">
        <v>110</v>
      </c>
      <c r="C100" s="90">
        <f>C97+C98+$C$99</f>
        <v>9773.8010720402381</v>
      </c>
      <c r="D100" s="108">
        <f>MIN(F100*(1-C94),E100)</f>
        <v>21.62464551278746</v>
      </c>
      <c r="E100" s="108">
        <f>MAX(E97+H98+E99,0)</f>
        <v>22.067415360519355</v>
      </c>
      <c r="F100" s="108">
        <f>(E100+H100)/2</f>
        <v>25.440759426808775</v>
      </c>
      <c r="H100" s="108">
        <f>MAX(C100*Data!$C$4/Common_Shares,0)</f>
        <v>28.814103493098195</v>
      </c>
      <c r="I100" s="108">
        <f>MAX(I97+H98+H99,0)</f>
        <v>58.406787066164277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15">
      <c r="B103" s="1" t="s">
        <v>152</v>
      </c>
      <c r="C103" s="90">
        <f>H103*Common_Shares/Data!C4</f>
        <v>4193.231675684161</v>
      </c>
      <c r="D103" s="108">
        <f>MIN(F103*(1-C94),E103)</f>
        <v>10.507741972203608</v>
      </c>
      <c r="E103" s="121">
        <f>PV(C94,D93,0,-F94)</f>
        <v>12.362049379063068</v>
      </c>
      <c r="F103" s="108">
        <f>(E103+H103)/2</f>
        <v>12.362049379063068</v>
      </c>
      <c r="H103" s="121">
        <f>PV(C94,D93,0,-I94)</f>
        <v>12.362049379063068</v>
      </c>
      <c r="I103" s="108">
        <f>PV(C93,D93,0,-I94)</f>
        <v>17.319579934404047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15">
      <c r="B106" s="1" t="s">
        <v>183</v>
      </c>
      <c r="C106" s="90">
        <f>E106*Common_Shares/Data!C4</f>
        <v>5839.2713738622006</v>
      </c>
      <c r="D106" s="108">
        <f>(D100+D103)/2</f>
        <v>16.066193742495535</v>
      </c>
      <c r="E106" s="121">
        <f>(E100+E103)/2</f>
        <v>17.214732369791211</v>
      </c>
      <c r="F106" s="108">
        <f>(F100+F103)/2</f>
        <v>18.901404402935921</v>
      </c>
      <c r="H106" s="121">
        <f>(H100+H103)/2</f>
        <v>20.58807643608063</v>
      </c>
      <c r="I106" s="121">
        <f>(I100+I103)/2</f>
        <v>37.863183500284165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2024-12-18T15:18:21Z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