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templates\"/>
    </mc:Choice>
  </mc:AlternateContent>
  <xr:revisionPtr revIDLastSave="0" documentId="13_ncr:1_{EA0B983C-A0FA-4081-BF66-25BD3956E38D}" xr6:coauthVersionLast="47" xr6:coauthVersionMax="47" xr10:uidLastSave="{00000000-0000-0000-0000-000000000000}"/>
  <bookViews>
    <workbookView xWindow="-98" yWindow="-98" windowWidth="17115" windowHeight="10755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B94" i="3" l="1"/>
  <c r="D29" i="1"/>
  <c r="F29" i="1"/>
  <c r="C29" i="1"/>
  <c r="D103" i="3"/>
  <c r="F104" i="3"/>
  <c r="E104" i="3"/>
  <c r="D104" i="3"/>
  <c r="C104" i="3" s="1"/>
  <c r="E87" i="3" l="1"/>
  <c r="C92" i="3" l="1"/>
  <c r="B92" i="3"/>
  <c r="G21" i="1" l="1"/>
  <c r="D101" i="3" l="1"/>
  <c r="G26" i="1"/>
  <c r="D45" i="2"/>
  <c r="C82" i="3"/>
  <c r="E42" i="2"/>
  <c r="D94" i="3"/>
  <c r="D100" i="3" s="1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E82" i="3" l="1"/>
  <c r="E80" i="3"/>
  <c r="J19" i="2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D53" i="3"/>
  <c r="D6" i="3"/>
  <c r="D7" i="3" s="1"/>
  <c r="D52" i="3"/>
  <c r="E6" i="3" l="1"/>
  <c r="F98" i="3" l="1"/>
  <c r="E98" i="3"/>
</calcChain>
</file>

<file path=xl/sharedStrings.xml><?xml version="1.0" encoding="utf-8"?>
<sst xmlns="http://schemas.openxmlformats.org/spreadsheetml/2006/main" count="254" uniqueCount="230">
  <si>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</si>
  <si>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</si>
  <si>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</si>
  <si>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</si>
  <si>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</si>
  <si>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</si>
  <si>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</si>
  <si>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</si>
  <si>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</si>
  <si>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</si>
  <si>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</si>
  <si>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</si>
  <si>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</si>
  <si>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</si>
  <si>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</si>
  <si>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</si>
  <si>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</si>
  <si>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</si>
  <si>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</si>
  <si>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</si>
  <si>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</si>
  <si>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</si>
  <si>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</si>
  <si>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</si>
  <si>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</si>
  <si>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</si>
  <si>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</si>
  <si>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</si>
  <si>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</si>
  <si>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</si>
  <si>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</si>
  <si>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</si>
  <si>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</si>
  <si>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</si>
  <si>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</si>
  <si>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</si>
  <si>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</si>
  <si>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</si>
  <si>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</si>
  <si>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</si>
  <si>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</si>
  <si>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</si>
  <si>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</si>
  <si>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</si>
  <si>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</si>
  <si>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</si>
  <si>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</si>
  <si>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</si>
  <si>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</si>
  <si>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</si>
  <si>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</si>
  <si>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</si>
  <si>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</si>
  <si>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</si>
  <si>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</si>
  <si>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</si>
  <si>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</si>
  <si>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</si>
  <si>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</si>
  <si>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</si>
  <si>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</si>
  <si>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</si>
  <si>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</si>
  <si>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</si>
  <si>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</si>
  <si>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</si>
  <si>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</si>
  <si>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</si>
  <si>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</si>
  <si>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</si>
  <si>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</si>
  <si>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</si>
  <si>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</si>
  <si>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</si>
  <si>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</si>
  <si>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</si>
  <si>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</si>
  <si>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</si>
  <si>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</si>
  <si>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</si>
  <si>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</si>
  <si>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</si>
  <si>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</si>
  <si>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</si>
  <si>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</si>
  <si>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</si>
  <si>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</si>
  <si>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</si>
  <si>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</si>
  <si>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</si>
  <si>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</si>
  <si>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</si>
  <si>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</si>
  <si>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</si>
  <si>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</si>
  <si>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</si>
  <si>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</si>
  <si>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</si>
  <si>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</si>
  <si>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</si>
  <si>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</si>
  <si>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</si>
  <si>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</si>
  <si>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</si>
  <si>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</si>
  <si>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</si>
  <si>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</si>
  <si>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</si>
  <si>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</si>
  <si>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</si>
  <si>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</si>
  <si>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</si>
  <si>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</si>
  <si>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</si>
  <si>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</si>
  <si>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</si>
  <si>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</si>
  <si>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</si>
  <si>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</si>
  <si>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</si>
  <si>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</si>
  <si>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</si>
  <si>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</si>
  <si>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</si>
  <si>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</si>
  <si>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</si>
  <si>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</si>
  <si>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</si>
  <si>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</si>
  <si>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</si>
  <si>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</si>
  <si>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</si>
  <si>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</si>
  <si>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</si>
  <si>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</si>
  <si>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</si>
  <si>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</si>
  <si>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</si>
  <si>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</si>
  <si>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</si>
  <si>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</si>
  <si>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</si>
  <si>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</si>
  <si>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</si>
  <si>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</si>
  <si>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</si>
  <si>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</si>
  <si>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</si>
  <si>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</si>
  <si>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</si>
  <si>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</si>
  <si>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</si>
  <si>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</si>
  <si>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</si>
  <si>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</si>
  <si>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</si>
  <si>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</si>
  <si>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</si>
  <si>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</si>
  <si>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</si>
  <si>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</si>
  <si>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</si>
  <si>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</si>
  <si>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</si>
  <si>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</si>
  <si>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</si>
  <si>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</si>
  <si>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</si>
  <si>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</si>
  <si>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</si>
  <si>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</si>
  <si>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</si>
  <si>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</si>
  <si>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</si>
  <si>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</si>
  <si>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</si>
  <si>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</si>
  <si>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</si>
  <si>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</si>
  <si>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</si>
  <si>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</si>
  <si>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</si>
  <si>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</si>
  <si>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</si>
  <si>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</si>
  <si>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</si>
  <si>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</si>
  <si>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</si>
  <si>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</si>
  <si>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</si>
  <si>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</si>
  <si>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</si>
  <si>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</si>
  <si>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</si>
  <si>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</si>
  <si>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</si>
  <si>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</si>
  <si>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</si>
  <si>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</si>
  <si>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</si>
  <si>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</si>
  <si>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</si>
  <si>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</si>
  <si>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</si>
  <si>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</si>
  <si>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</si>
  <si>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</si>
  <si>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</si>
  <si>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</si>
  <si>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</si>
  <si>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</si>
  <si>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</si>
  <si>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</si>
  <si>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</si>
  <si>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</si>
  <si>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</si>
  <si>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</si>
  <si>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</si>
  <si>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</si>
  <si>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</si>
  <si>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</si>
  <si>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</si>
  <si>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</si>
  <si>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</si>
  <si>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</si>
  <si>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六福珠宝</t>
    <phoneticPr fontId="20" type="noConversion"/>
  </si>
  <si>
    <t>0590.HK</t>
    <phoneticPr fontId="20" type="noConversion"/>
  </si>
  <si>
    <t>C0003</t>
    <phoneticPr fontId="20" type="noConversion"/>
  </si>
  <si>
    <t>Avg of E and D method</t>
    <phoneticPr fontId="20" type="noConversion"/>
  </si>
  <si>
    <t>Avg Valuation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</si>
</sst>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6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0" xfId="0" applyFont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19" zoomScaleNormal="100" workbookViewId="0">
      <selection activeCell="D30" sqref="D30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94"/>
      <c r="E2" s="7"/>
      <c r="F2" s="7"/>
      <c r="G2" s="93"/>
      <c r="H2" s="93"/>
    </row>
    <row r="3" spans="1:10" ht="15.75" customHeight="1" x14ac:dyDescent="0.4">
      <c r="B3" s="3" t="s">
        <v>222</v>
      </c>
      <c r="C3" s="199" t="s">
        <v>226</v>
      </c>
      <c r="D3" s="200"/>
      <c r="E3" s="94"/>
      <c r="F3" s="3" t="s">
        <v>1</v>
      </c>
      <c r="G3" s="171">
        <v>14.72</v>
      </c>
      <c r="H3" s="173" t="s">
        <v>2</v>
      </c>
    </row>
    <row r="4" spans="1:10" ht="15.75" customHeight="1" x14ac:dyDescent="0.5">
      <c r="B4" s="35" t="s">
        <v>223</v>
      </c>
      <c r="C4" s="201" t="s">
        <v>225</v>
      </c>
      <c r="D4" s="202"/>
      <c r="E4" s="94"/>
      <c r="F4" s="3" t="s">
        <v>3</v>
      </c>
      <c r="G4" s="205">
        <v>587107850</v>
      </c>
      <c r="H4" s="205"/>
      <c r="I4" s="39"/>
    </row>
    <row r="5" spans="1:10" ht="15.75" customHeight="1" x14ac:dyDescent="0.4">
      <c r="B5" s="3" t="s">
        <v>180</v>
      </c>
      <c r="C5" s="203">
        <v>45591</v>
      </c>
      <c r="D5" s="204"/>
      <c r="E5" s="34"/>
      <c r="F5" s="35" t="s">
        <v>102</v>
      </c>
      <c r="G5" s="197">
        <f>G3*G4/1000000</f>
        <v>8642.2275520000003</v>
      </c>
      <c r="H5" s="197"/>
      <c r="I5" s="38"/>
      <c r="J5" s="28"/>
    </row>
    <row r="6" spans="1:10" ht="15.75" customHeight="1" x14ac:dyDescent="0.4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8" t="s">
        <v>2</v>
      </c>
      <c r="H6" s="198"/>
      <c r="I6" s="38"/>
    </row>
    <row r="7" spans="1:10" ht="15.75" customHeight="1" x14ac:dyDescent="0.4">
      <c r="B7" s="93" t="s">
        <v>220</v>
      </c>
      <c r="C7" s="190" t="s">
        <v>46</v>
      </c>
      <c r="D7" s="196" t="s">
        <v>227</v>
      </c>
      <c r="E7" s="94"/>
      <c r="F7" s="35" t="s">
        <v>6</v>
      </c>
      <c r="G7" s="172">
        <v>1</v>
      </c>
      <c r="H7" s="77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80" t="s">
        <v>218</v>
      </c>
      <c r="F9" s="186" t="s">
        <v>211</v>
      </c>
    </row>
    <row r="10" spans="1:10" ht="15.75" customHeight="1" x14ac:dyDescent="0.4">
      <c r="B10" s="1" t="s">
        <v>199</v>
      </c>
      <c r="C10" s="170">
        <v>4.2099999999999999E-2</v>
      </c>
      <c r="F10" s="125" t="s">
        <v>207</v>
      </c>
    </row>
    <row r="11" spans="1:10" ht="15.75" customHeight="1" thickBot="1" x14ac:dyDescent="0.45">
      <c r="B11" s="147" t="s">
        <v>203</v>
      </c>
      <c r="C11" s="184">
        <v>5.2900000000000003E-2</v>
      </c>
      <c r="D11" s="177" t="s">
        <v>216</v>
      </c>
      <c r="F11" s="125" t="s">
        <v>201</v>
      </c>
    </row>
    <row r="12" spans="1:10" ht="15.75" customHeight="1" thickTop="1" x14ac:dyDescent="0.4">
      <c r="B12" s="94" t="s">
        <v>142</v>
      </c>
      <c r="C12" s="193">
        <v>0.08</v>
      </c>
      <c r="D12" s="170">
        <v>9.6250000000000002E-2</v>
      </c>
      <c r="F12" s="125"/>
    </row>
    <row r="13" spans="1:10" ht="15.75" customHeight="1" x14ac:dyDescent="0.4"/>
    <row r="14" spans="1:10" ht="15.75" customHeight="1" x14ac:dyDescent="0.4">
      <c r="B14" s="1" t="s">
        <v>200</v>
      </c>
      <c r="C14" s="170">
        <v>2.0799999999999999E-2</v>
      </c>
      <c r="F14" s="125" t="s">
        <v>206</v>
      </c>
    </row>
    <row r="15" spans="1:10" ht="15.75" customHeight="1" x14ac:dyDescent="0.4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45">
      <c r="B16" s="147" t="s">
        <v>213</v>
      </c>
      <c r="C16" s="184">
        <v>0.16</v>
      </c>
      <c r="D16" s="195" t="s">
        <v>217</v>
      </c>
      <c r="F16" s="125" t="s">
        <v>202</v>
      </c>
    </row>
    <row r="17" spans="1:8" ht="15.75" customHeight="1" thickTop="1" x14ac:dyDescent="0.4">
      <c r="B17" s="94" t="s">
        <v>205</v>
      </c>
      <c r="C17" s="194">
        <v>0.1125</v>
      </c>
      <c r="D17" s="189"/>
    </row>
    <row r="18" spans="1:8" ht="15.75" customHeight="1" x14ac:dyDescent="0.4"/>
    <row r="19" spans="1:8" ht="15.75" customHeight="1" x14ac:dyDescent="0.4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4">
      <c r="B20" s="177" t="s">
        <v>187</v>
      </c>
      <c r="C20" s="178" t="e">
        <f>Fin_Analysis!F75</f>
        <v>#DIV/0!</v>
      </c>
      <c r="F20" s="181" t="s">
        <v>195</v>
      </c>
      <c r="G20" s="178" t="e">
        <f>Fin_Analysis!F91</f>
        <v>#DIV/0!</v>
      </c>
    </row>
    <row r="21" spans="1:8" ht="15.75" customHeight="1" x14ac:dyDescent="0.4">
      <c r="B21" s="177" t="s">
        <v>188</v>
      </c>
      <c r="C21" s="178" t="e">
        <f>Fin_Analysis!F77</f>
        <v>#DIV/0!</v>
      </c>
      <c r="F21" s="181" t="s">
        <v>194</v>
      </c>
      <c r="G21" s="178">
        <f>Fin_Analysis!F92</f>
        <v>0.02</v>
      </c>
    </row>
    <row r="22" spans="1:8" ht="15.75" customHeight="1" x14ac:dyDescent="0.4">
      <c r="B22" s="177" t="s">
        <v>189</v>
      </c>
      <c r="C22" s="178" t="e">
        <f>Fin_Analysis!F79</f>
        <v>#DIV/0!</v>
      </c>
      <c r="F22" s="185" t="s">
        <v>210</v>
      </c>
    </row>
    <row r="23" spans="1:8" ht="15.75" customHeight="1" x14ac:dyDescent="0.4">
      <c r="B23" s="177" t="s">
        <v>190</v>
      </c>
      <c r="C23" s="178" t="e">
        <f>Fin_Analysis!F80</f>
        <v>#DIV/0!</v>
      </c>
      <c r="F23" s="181" t="s">
        <v>214</v>
      </c>
      <c r="G23" s="188">
        <f>G3/(Data!C34*Data!E3/Common_Shares*Exchange_Rate)</f>
        <v>2.3573200339104732</v>
      </c>
    </row>
    <row r="24" spans="1:8" ht="15.75" customHeight="1" x14ac:dyDescent="0.4">
      <c r="B24" s="177" t="s">
        <v>191</v>
      </c>
      <c r="C24" s="178" t="e">
        <f>Fin_Analysis!F81</f>
        <v>#DIV/0!</v>
      </c>
      <c r="F24" s="181" t="s">
        <v>198</v>
      </c>
      <c r="G24" s="182" t="e">
        <f>(Fin_Analysis!E86*G7)/G3</f>
        <v>#DIV/0!</v>
      </c>
    </row>
    <row r="25" spans="1:8" ht="15.75" customHeight="1" x14ac:dyDescent="0.4">
      <c r="B25" s="177" t="s">
        <v>219</v>
      </c>
      <c r="C25" s="178" t="e">
        <f>Fin_Analysis!F82</f>
        <v>#DIV/0!</v>
      </c>
      <c r="F25" s="181" t="s">
        <v>197</v>
      </c>
      <c r="G25" s="178" t="e">
        <f>Fin_Analysis!F87</f>
        <v>#DIV/0!</v>
      </c>
    </row>
    <row r="26" spans="1:8" ht="15.75" customHeight="1" x14ac:dyDescent="0.4">
      <c r="B26" s="179" t="s">
        <v>193</v>
      </c>
      <c r="C26" s="178" t="e">
        <f>Fin_Analysis!F83</f>
        <v>#DIV/0!</v>
      </c>
      <c r="F26" s="183" t="s">
        <v>221</v>
      </c>
      <c r="G26" s="182">
        <f>Fin_Analysis!E87*Exchange_Rate/G3</f>
        <v>1.0747282608695652E-2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4">
      <c r="B29" s="94" t="s">
        <v>186</v>
      </c>
      <c r="C29" s="168" t="e">
        <f>IF(Fin_Analysis!C106="Profit",Fin_Analysis!E98,IF(Fin_Analysis!C106="Dividend",Fin_Analysis!E101,Fin_Analysis!E104))</f>
        <v>#DIV/0!</v>
      </c>
      <c r="D29" s="167" t="e">
        <f>IF(Fin_Analysis!C106="Profit",Fin_Analysis!F98,IF(Fin_Analysis!C106="Dividend",Fin_Analysis!F101,Fin_Analysis!F104))</f>
        <v>#DIV/0!</v>
      </c>
      <c r="E29" s="94"/>
      <c r="F29" s="169" t="e">
        <f>IF(Fin_Analysis!C106="Profit",Fin_Analysis!D98,IF(Fin_Analysis!C106="Dividend",Fin_Analysis!D101,Fin_Analysis!D104))</f>
        <v>#DIV/0!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disablePrompts="1"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15" zoomScaleNormal="100" workbookViewId="0">
      <pane xSplit="2" topLeftCell="G1" activePane="topRight" state="frozen"/>
      <selection activeCell="A4" sqref="A4"/>
      <selection pane="topRight" activeCell="D34" sqref="D34:H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40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 t="str">
        <f t="shared" ref="C7:M7" si="1">IF(D6="","",C6/D6-1)</f>
        <v/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 t="str">
        <f t="shared" ref="C9:M9" si="2">IF(C6="","",(C6-C8))</f>
        <v/>
      </c>
      <c r="D9" s="101" t="str">
        <f t="shared" si="2"/>
        <v/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 t="str">
        <f t="shared" ref="C11:M11" si="3">IF(C6="","",(C12/C6))</f>
        <v/>
      </c>
      <c r="D11" s="97" t="str">
        <f t="shared" si="3"/>
        <v/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 t="str">
        <f>IF(C6="","",(C9-C10+C12))</f>
        <v/>
      </c>
      <c r="D13" s="101" t="str">
        <f t="shared" ref="D13:M13" si="4">IF(D6="","",(D9-D10+D12))</f>
        <v/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 t="str">
        <f>IF(C6="","",C13-C14-MAX(C15,0)-MAX(C16,0)-C17-MAX(C18/(1-Fin_Analysis!$F$84),0))</f>
        <v/>
      </c>
      <c r="D19" s="95" t="str">
        <f>IF(D6="","",D13-D14-MAX(D15,0)-MAX(D16,0)-D17-MAX(D18/(1-Fin_Analysis!$F$84),0))</f>
        <v/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 t="str">
        <f>IF(D19="","",IF(ABS(C19+D19)=ABS(C19)+ABS(D19),IF(C19&lt;0,-1,1)*(C19-D19)/D19,"Turn"))</f>
        <v/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 t="str">
        <f t="shared" ref="C21:M21" si="6">IF(C6="","",C22/C6)</f>
        <v/>
      </c>
      <c r="D21" s="56" t="str">
        <f t="shared" si="6"/>
        <v/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 t="str">
        <f>IF(C6="","",C19*(1-Fin_Analysis!$F$84))</f>
        <v/>
      </c>
      <c r="D22" s="95" t="str">
        <f>IF(D6="","",D19*(1-Fin_Analysis!$F$84))</f>
        <v/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 t="str">
        <f>IF(D22="","",IF(ABS(C22+D22)=ABS(C22)+ABS(D22),IF(C22&lt;0,-1,1)*(C22-D22)/D22,"Turn"))</f>
        <v/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9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 t="str">
        <f t="shared" ref="C25:M25" si="17">IF(C6="","",C34+C29+C30)</f>
        <v/>
      </c>
      <c r="D25" s="41" t="str">
        <f t="shared" si="17"/>
        <v/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2422539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422018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370793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803015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100207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5523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2115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 t="str">
        <f t="shared" ref="C33:M33" si="18">IF(C6="","",C31+C32)</f>
        <v/>
      </c>
      <c r="D33" s="95" t="str">
        <f t="shared" si="18"/>
        <v/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3666124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45613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1668632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2900714</v>
      </c>
      <c r="D37" s="41" t="str">
        <f t="shared" ref="D37:M37" si="19">IF(D6="","",D25-D36)</f>
        <v/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173</v>
      </c>
      <c r="C38" s="104" t="str">
        <f>IF(C6="","",C19/C37)</f>
        <v/>
      </c>
      <c r="D38" s="104" t="str">
        <f t="shared" ref="D38:M38" si="20">IF(D6="","",D19/D37)</f>
        <v/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 t="str">
        <f t="shared" ref="C40:M40" si="21">IF(C6="","",C8/C6)</f>
        <v/>
      </c>
      <c r="D40" s="61" t="str">
        <f t="shared" si="21"/>
        <v/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 t="str">
        <f t="shared" ref="C41:M41" si="22">IF(C6="","",(C10-C12)/C6)</f>
        <v/>
      </c>
      <c r="D41" s="56" t="str">
        <f t="shared" si="22"/>
        <v/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 t="str">
        <f t="shared" ref="C42:M42" si="23">IF(C6="","",(C14+MAX(C15,0))/C6)</f>
        <v/>
      </c>
      <c r="D42" s="56" t="str">
        <f t="shared" si="23"/>
        <v/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 t="str">
        <f t="shared" ref="C43:M43" si="24">IF(C6="","",MAX(C16,0)/C6)</f>
        <v/>
      </c>
      <c r="D43" s="56" t="str">
        <f t="shared" si="24"/>
        <v/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 t="str">
        <f t="shared" ref="C44:M44" si="25">IF(C6="","",C17/C6)</f>
        <v/>
      </c>
      <c r="D44" s="56" t="str">
        <f t="shared" si="25"/>
        <v/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 t="str">
        <f>IF(C6="","",MAX(C18,0)/(1-Fin_Analysis!$F$84)/C6)</f>
        <v/>
      </c>
      <c r="D45" s="56" t="str">
        <f>IF(D6="","",MAX(D18,0)/(1-Fin_Analysis!$F$84)/D6)</f>
        <v/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 t="str">
        <f t="shared" ref="C46:M46" si="26">IF(C6="","",C19/C6)</f>
        <v/>
      </c>
      <c r="D46" s="56" t="str">
        <f t="shared" si="26"/>
        <v/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 t="str">
        <f t="shared" ref="C48:M48" si="27">IF(C6="","",C27/C6)</f>
        <v/>
      </c>
      <c r="D48" s="61" t="str">
        <f t="shared" si="27"/>
        <v/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 t="str">
        <f t="shared" ref="C49:M49" si="28">IF(C6="","",C28/C6)</f>
        <v/>
      </c>
      <c r="D49" s="56" t="str">
        <f t="shared" si="28"/>
        <v/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 t="e">
        <f>IF(C34="","",(C25-C34)/C25)</f>
        <v>#VALUE!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 t="str">
        <f t="shared" ref="C52:M52" si="30">IF(C19="","",IF(C33&lt;=0,"-",C19/C33))</f>
        <v/>
      </c>
      <c r="D52" s="60" t="str">
        <f t="shared" si="30"/>
        <v/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 t="str">
        <f t="shared" ref="C53:M53" si="31">IF(C19="","",IF(C17&lt;=0,"-",C17/C19))</f>
        <v/>
      </c>
      <c r="D53" s="56" t="str">
        <f t="shared" si="31"/>
        <v/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3.0168041692869996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abSelected="1" topLeftCell="A82" zoomScaleNormal="100" workbookViewId="0">
      <selection activeCell="E99" sqref="E99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1">
        <f>C49-I49</f>
        <v>3666124</v>
      </c>
      <c r="E3" s="73" t="str">
        <f>IF((C49-I49)=D3,"", "Error!")</f>
        <v/>
      </c>
      <c r="F3" s="94"/>
      <c r="G3" s="94"/>
      <c r="H3" s="47" t="s">
        <v>24</v>
      </c>
      <c r="I3" s="59">
        <v>3620511</v>
      </c>
      <c r="K3" s="24"/>
    </row>
    <row r="4" spans="1:11" ht="15" customHeight="1" x14ac:dyDescent="0.4">
      <c r="B4" s="3" t="s">
        <v>25</v>
      </c>
      <c r="C4" s="94"/>
      <c r="D4" s="69">
        <f>D3-I3</f>
        <v>45613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3.0168041692869996</v>
      </c>
      <c r="K5" s="24"/>
    </row>
    <row r="6" spans="1:11" ht="15" customHeight="1" thickBot="1" x14ac:dyDescent="0.45">
      <c r="B6" s="20" t="s">
        <v>27</v>
      </c>
      <c r="C6" s="94"/>
      <c r="D6" s="75">
        <f>E49-I49-E53</f>
        <v>1212256.4612932415</v>
      </c>
      <c r="E6" s="56">
        <f>1-D6/D3</f>
        <v>0.66933566314362491</v>
      </c>
      <c r="F6" s="94"/>
      <c r="G6" s="94"/>
      <c r="H6" s="1" t="s">
        <v>30</v>
      </c>
      <c r="I6" s="67">
        <f>(C24+C25)/I28</f>
        <v>2.527144573887163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2.0647934809477366</v>
      </c>
      <c r="E7" s="11" t="str">
        <f>Dashboard!H3</f>
        <v>HKD</v>
      </c>
      <c r="H7" s="1" t="s">
        <v>31</v>
      </c>
      <c r="I7" s="67">
        <f>C24/I28</f>
        <v>2.447959253563134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224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1322113</v>
      </c>
      <c r="D11" s="64">
        <v>1</v>
      </c>
      <c r="E11" s="95">
        <f t="shared" ref="E11:E21" si="0">C11*D11</f>
        <v>1322113</v>
      </c>
      <c r="F11" s="127"/>
      <c r="G11" s="94"/>
      <c r="H11" s="3" t="s">
        <v>39</v>
      </c>
      <c r="I11" s="63"/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5523</v>
      </c>
      <c r="J12" s="94"/>
      <c r="K12" s="24"/>
    </row>
    <row r="13" spans="1:11" ht="13.9" x14ac:dyDescent="0.4">
      <c r="B13" s="3" t="s">
        <v>121</v>
      </c>
      <c r="C13" s="63">
        <v>422018</v>
      </c>
      <c r="D13" s="64">
        <v>0.8</v>
      </c>
      <c r="E13" s="95">
        <f t="shared" si="0"/>
        <v>337614.4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>
        <v>221617</v>
      </c>
      <c r="D14" s="64">
        <v>0.3</v>
      </c>
      <c r="E14" s="95">
        <f>C14*D14</f>
        <v>66485.099999999991</v>
      </c>
      <c r="F14" s="127"/>
      <c r="G14" s="94"/>
      <c r="H14" s="93" t="s">
        <v>43</v>
      </c>
      <c r="I14" s="145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5523</v>
      </c>
      <c r="J15" s="94"/>
    </row>
    <row r="16" spans="1:11" ht="13.9" x14ac:dyDescent="0.4">
      <c r="B16" s="1" t="s">
        <v>174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63587</v>
      </c>
      <c r="D17" s="64">
        <v>0.1</v>
      </c>
      <c r="E17" s="95">
        <f t="shared" si="0"/>
        <v>6358.7000000000007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370793</v>
      </c>
      <c r="D18" s="64">
        <v>0.5</v>
      </c>
      <c r="E18" s="95">
        <f t="shared" si="0"/>
        <v>185396.5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22411</v>
      </c>
      <c r="D21" s="64">
        <v>0.95</v>
      </c>
      <c r="E21" s="95">
        <f t="shared" si="0"/>
        <v>21290.45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797492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1965748</v>
      </c>
      <c r="D24" s="66">
        <f>IF(E24=0,0,E24/C24)</f>
        <v>0.87814536756491679</v>
      </c>
      <c r="E24" s="95">
        <f>SUM(E11:E14)</f>
        <v>1726212.5</v>
      </c>
      <c r="F24" s="129">
        <f>E24/$E$28</f>
        <v>0.89014064476150334</v>
      </c>
      <c r="G24" s="94"/>
    </row>
    <row r="25" spans="2:10" ht="15" customHeight="1" x14ac:dyDescent="0.4">
      <c r="B25" s="23" t="s">
        <v>55</v>
      </c>
      <c r="C25" s="65">
        <f>SUM(C15:C17)</f>
        <v>63587</v>
      </c>
      <c r="D25" s="66">
        <f>IF(E25=0,0,E25/C25)</f>
        <v>0.1</v>
      </c>
      <c r="E25" s="95">
        <f>SUM(E15:E17)</f>
        <v>6358.7000000000007</v>
      </c>
      <c r="F25" s="129">
        <f t="shared" ref="F25:F27" si="2">E25/$E$28</f>
        <v>3.2789342666936843E-3</v>
      </c>
      <c r="G25" s="94"/>
      <c r="H25" s="23" t="s">
        <v>56</v>
      </c>
      <c r="I25" s="67">
        <f>E28/I28</f>
        <v>2.4149712645467392</v>
      </c>
    </row>
    <row r="26" spans="2:10" ht="15" customHeight="1" x14ac:dyDescent="0.4">
      <c r="B26" s="23" t="s">
        <v>57</v>
      </c>
      <c r="C26" s="65">
        <f>C18+C19+C20</f>
        <v>370793</v>
      </c>
      <c r="D26" s="66">
        <f t="shared" ref="D26:D27" si="3">IF(E26=0,0,E26/C26)</f>
        <v>0.5</v>
      </c>
      <c r="E26" s="95">
        <f>E18+E19+E20</f>
        <v>185396.5</v>
      </c>
      <c r="F26" s="129">
        <f t="shared" si="2"/>
        <v>9.5601764004446754E-2</v>
      </c>
      <c r="G26" s="94"/>
      <c r="H26" s="23" t="s">
        <v>58</v>
      </c>
      <c r="I26" s="67">
        <f>E24/($I$28-I22)</f>
        <v>312.54979177982977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22411</v>
      </c>
      <c r="D27" s="66">
        <f t="shared" si="3"/>
        <v>0.95000000000000007</v>
      </c>
      <c r="E27" s="95">
        <f>E21+E22</f>
        <v>21290.45</v>
      </c>
      <c r="F27" s="129">
        <f t="shared" si="2"/>
        <v>1.0978656967356306E-2</v>
      </c>
      <c r="G27" s="94"/>
      <c r="H27" s="23" t="s">
        <v>60</v>
      </c>
      <c r="I27" s="67">
        <f>(E25+E24)/$I$28</f>
        <v>2.1575826105365405</v>
      </c>
      <c r="J27" s="8" t="str">
        <f>IF(OR(I27&lt;0.75,C28&lt;I28),"Liquidity Problem!","")</f>
        <v/>
      </c>
    </row>
    <row r="28" spans="2:10" ht="15" customHeight="1" x14ac:dyDescent="0.4">
      <c r="B28" s="85" t="s">
        <v>15</v>
      </c>
      <c r="C28" s="86">
        <f>SUM(C11:C22)</f>
        <v>2422539</v>
      </c>
      <c r="D28" s="61">
        <f t="shared" ref="D28" si="4">E28/C28</f>
        <v>0.80050647275441178</v>
      </c>
      <c r="E28" s="76">
        <f>SUM(E24:E27)</f>
        <v>1939258.15</v>
      </c>
      <c r="F28" s="127"/>
      <c r="G28" s="94"/>
      <c r="H28" s="85" t="s">
        <v>16</v>
      </c>
      <c r="I28" s="72">
        <v>803015</v>
      </c>
      <c r="J28" s="32">
        <f>IF(J26="",1,0)+IF(J27="",1,0)+IF(J46="",1,0)+IF(J47="",1,0)</f>
        <v>4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>
        <v>39731</v>
      </c>
      <c r="D31" s="64">
        <v>0.5</v>
      </c>
      <c r="E31" s="95">
        <f t="shared" ref="E31:E42" si="5">C31*D31</f>
        <v>19865.5</v>
      </c>
      <c r="F31" s="127"/>
      <c r="G31" s="94"/>
      <c r="H31" s="3" t="s">
        <v>64</v>
      </c>
      <c r="I31" s="63">
        <v>2115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175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3.9" x14ac:dyDescent="0.4">
      <c r="B34" s="3" t="s">
        <v>68</v>
      </c>
      <c r="C34" s="63"/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2115</v>
      </c>
      <c r="J34" s="94"/>
    </row>
    <row r="35" spans="2:10" ht="13.9" x14ac:dyDescent="0.4">
      <c r="B35" s="3" t="s">
        <v>70</v>
      </c>
      <c r="C35" s="63">
        <v>85171</v>
      </c>
      <c r="D35" s="64">
        <v>0.1</v>
      </c>
      <c r="E35" s="95">
        <f t="shared" si="5"/>
        <v>8517.1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/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1863998</v>
      </c>
      <c r="D38" s="64">
        <v>0.1</v>
      </c>
      <c r="E38" s="95">
        <f>C38*D38</f>
        <v>186399.80000000002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23958</v>
      </c>
      <c r="D40" s="64">
        <v>0.05</v>
      </c>
      <c r="E40" s="95">
        <f t="shared" si="5"/>
        <v>1197.9000000000001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71331</v>
      </c>
      <c r="D41" s="64">
        <v>0.95</v>
      </c>
      <c r="E41" s="95">
        <f t="shared" si="5"/>
        <v>67764.45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62618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98092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39731</v>
      </c>
      <c r="D44" s="66">
        <f>IF(E44=0,0,E44/C44)</f>
        <v>0.5</v>
      </c>
      <c r="E44" s="95">
        <f>SUM(E30:E31)</f>
        <v>19865.5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85171</v>
      </c>
      <c r="D45" s="66">
        <f>IF(E45=0,0,E45/C45)</f>
        <v>0.1</v>
      </c>
      <c r="E45" s="95">
        <f>SUM(E32:E35)</f>
        <v>8517.1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1863998</v>
      </c>
      <c r="D46" s="66">
        <f t="shared" ref="D46:D47" si="6">IF(E46=0,0,E46/C46)</f>
        <v>0.1</v>
      </c>
      <c r="E46" s="95">
        <f>E36+E37+E38+E39</f>
        <v>186399.80000000002</v>
      </c>
      <c r="F46" s="94"/>
      <c r="G46" s="94"/>
      <c r="H46" s="23" t="s">
        <v>81</v>
      </c>
      <c r="I46" s="67">
        <f>(E44+E24)/E64</f>
        <v>228.60408483896308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157907</v>
      </c>
      <c r="D47" s="66">
        <f t="shared" si="6"/>
        <v>0.4367276308206729</v>
      </c>
      <c r="E47" s="95">
        <f>E40+E41+E42</f>
        <v>68962.349999999991</v>
      </c>
      <c r="F47" s="94"/>
      <c r="G47" s="94"/>
      <c r="H47" s="23" t="s">
        <v>83</v>
      </c>
      <c r="I47" s="67">
        <f>(E44+E45+E24+E25)/$I$49</f>
        <v>1.9496356377501878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2146807</v>
      </c>
      <c r="D48" s="89">
        <f>E48/C48</f>
        <v>0.13217059102192233</v>
      </c>
      <c r="E48" s="83">
        <f>SUM(E30:E42)</f>
        <v>283744.75</v>
      </c>
      <c r="F48" s="94"/>
      <c r="G48" s="94"/>
      <c r="H48" s="87" t="s">
        <v>85</v>
      </c>
      <c r="I48" s="90">
        <v>100207</v>
      </c>
      <c r="J48" s="8"/>
    </row>
    <row r="49" spans="2:10" ht="15" customHeight="1" thickTop="1" x14ac:dyDescent="0.4">
      <c r="B49" s="3" t="s">
        <v>14</v>
      </c>
      <c r="C49" s="65">
        <f>C28+C48</f>
        <v>4569346</v>
      </c>
      <c r="D49" s="56">
        <f>E49/C49</f>
        <v>0.48650351713352413</v>
      </c>
      <c r="E49" s="95">
        <f>E28+E48</f>
        <v>2223002.9</v>
      </c>
      <c r="F49" s="94"/>
      <c r="G49" s="94"/>
      <c r="H49" s="3" t="s">
        <v>86</v>
      </c>
      <c r="I49" s="52">
        <f>I28+I48</f>
        <v>903222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45613</v>
      </c>
      <c r="D53" s="29">
        <f>IF(E53=0, 0,E53/C53)</f>
        <v>2.3573200339104732</v>
      </c>
      <c r="E53" s="95">
        <f>MAX(C53,C53*Dashboard!G23)</f>
        <v>107524.43870675842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9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10">
        <f>I15+I34</f>
        <v>7638</v>
      </c>
      <c r="E56" s="211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5">
        <v>0</v>
      </c>
      <c r="E57" s="204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346519</v>
      </c>
      <c r="D61" s="56">
        <f t="shared" ref="D61:D70" si="7">IF(E61=0,0,E61/C61)</f>
        <v>0.27377344388042213</v>
      </c>
      <c r="E61" s="52">
        <f>E14+E15+(E19*G19)+(E20*G20)+E31+E32+(E35*G35)+(E36*G36)+(E37*G37)</f>
        <v>94867.7</v>
      </c>
      <c r="F61" s="94"/>
      <c r="G61" s="94"/>
      <c r="H61" s="94"/>
      <c r="I61" s="94"/>
    </row>
    <row r="62" spans="2:10" ht="13.9" x14ac:dyDescent="0.4">
      <c r="B62" s="35" t="s">
        <v>152</v>
      </c>
      <c r="C62" s="142">
        <f>C11+C30</f>
        <v>1322113</v>
      </c>
      <c r="D62" s="122">
        <f t="shared" si="7"/>
        <v>1</v>
      </c>
      <c r="E62" s="143">
        <f>E11+E30</f>
        <v>1322113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1668632</v>
      </c>
      <c r="D63" s="29">
        <f t="shared" si="7"/>
        <v>0.84918705862047472</v>
      </c>
      <c r="E63" s="65">
        <f>E61+E62</f>
        <v>1416980.7</v>
      </c>
      <c r="F63" s="94"/>
      <c r="G63" s="94"/>
      <c r="H63" s="94"/>
      <c r="I63" s="94"/>
    </row>
    <row r="64" spans="2:10" ht="14.25" thickBot="1" x14ac:dyDescent="0.45">
      <c r="B64" s="146" t="s">
        <v>164</v>
      </c>
      <c r="C64" s="147"/>
      <c r="D64" s="148"/>
      <c r="E64" s="75">
        <f>D56+D57+D58</f>
        <v>7638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1660994</v>
      </c>
      <c r="D65" s="29">
        <f t="shared" si="7"/>
        <v>0.84849355265581927</v>
      </c>
      <c r="E65" s="65">
        <f>E63-E64</f>
        <v>1409342.7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2900714</v>
      </c>
      <c r="D68" s="29">
        <f t="shared" si="7"/>
        <v>0.27787027607685555</v>
      </c>
      <c r="E68" s="74">
        <f>E49-E63</f>
        <v>806022.2</v>
      </c>
      <c r="F68" s="94"/>
      <c r="G68" s="94"/>
      <c r="H68" s="94"/>
      <c r="I68" s="94"/>
    </row>
    <row r="69" spans="1:9" ht="14.25" thickBot="1" x14ac:dyDescent="0.45">
      <c r="B69" s="146" t="s">
        <v>165</v>
      </c>
      <c r="C69" s="147"/>
      <c r="D69" s="148"/>
      <c r="E69" s="160">
        <f>I49-E64</f>
        <v>895584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2005130</v>
      </c>
      <c r="D70" s="29">
        <f t="shared" si="7"/>
        <v>-4.4666330861340683E-2</v>
      </c>
      <c r="E70" s="74">
        <f>E68-E69</f>
        <v>-89561.800000000047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08">
        <f>Data!C5</f>
        <v>45291</v>
      </c>
      <c r="D72" s="208"/>
      <c r="H72" s="50" t="s">
        <v>8</v>
      </c>
    </row>
    <row r="73" spans="1:9" ht="15" customHeight="1" x14ac:dyDescent="0.4">
      <c r="B73" s="12" t="str">
        <f>"(Numbers in "&amp;Data!E3&amp;Dashboard!G6&amp;")"</f>
        <v>(Numbers in 1000HKD)</v>
      </c>
      <c r="C73" s="207" t="s">
        <v>103</v>
      </c>
      <c r="D73" s="207"/>
      <c r="E73" s="209" t="s">
        <v>104</v>
      </c>
      <c r="F73" s="207"/>
    </row>
    <row r="74" spans="1:9" ht="15" customHeight="1" x14ac:dyDescent="0.4">
      <c r="B74" s="3" t="s">
        <v>136</v>
      </c>
      <c r="C74" s="95">
        <f>Data!C6</f>
        <v>0</v>
      </c>
      <c r="D74" s="130"/>
      <c r="E74" s="149">
        <f>C74</f>
        <v>0</v>
      </c>
      <c r="F74" s="130"/>
    </row>
    <row r="75" spans="1:9" ht="15" customHeight="1" x14ac:dyDescent="0.4">
      <c r="B75" s="117" t="s">
        <v>109</v>
      </c>
      <c r="C75" s="95">
        <f>Data!C8</f>
        <v>0</v>
      </c>
      <c r="D75" s="131" t="e">
        <f>C75/$C$74</f>
        <v>#DIV/0!</v>
      </c>
      <c r="E75" s="149" t="e">
        <f>D75*E74</f>
        <v>#DIV/0!</v>
      </c>
      <c r="F75" s="150" t="e">
        <f>E75/$E$74</f>
        <v>#DIV/0!</v>
      </c>
    </row>
    <row r="76" spans="1:9" ht="15" customHeight="1" x14ac:dyDescent="0.4">
      <c r="B76" s="35" t="s">
        <v>96</v>
      </c>
      <c r="C76" s="118">
        <f>C74-C75</f>
        <v>0</v>
      </c>
      <c r="D76" s="132"/>
      <c r="E76" s="151" t="e">
        <f>E74-E75</f>
        <v>#DIV/0!</v>
      </c>
      <c r="F76" s="132"/>
    </row>
    <row r="77" spans="1:9" ht="15" customHeight="1" x14ac:dyDescent="0.4">
      <c r="B77" s="117" t="s">
        <v>133</v>
      </c>
      <c r="C77" s="95">
        <f>Data!C10-Data!C12</f>
        <v>0</v>
      </c>
      <c r="D77" s="131" t="e">
        <f>C77/$C$74</f>
        <v>#DIV/0!</v>
      </c>
      <c r="E77" s="149" t="e">
        <f>D77*E74</f>
        <v>#DIV/0!</v>
      </c>
      <c r="F77" s="150" t="e">
        <f>E77/$E$74</f>
        <v>#DIV/0!</v>
      </c>
    </row>
    <row r="78" spans="1:9" ht="15" customHeight="1" x14ac:dyDescent="0.4">
      <c r="B78" s="35" t="s">
        <v>97</v>
      </c>
      <c r="C78" s="118">
        <f>C76-C77</f>
        <v>0</v>
      </c>
      <c r="D78" s="132"/>
      <c r="E78" s="151" t="e">
        <f>E76-E77</f>
        <v>#DIV/0!</v>
      </c>
      <c r="F78" s="132"/>
    </row>
    <row r="79" spans="1:9" ht="15" customHeight="1" x14ac:dyDescent="0.4">
      <c r="B79" s="117" t="s">
        <v>129</v>
      </c>
      <c r="C79" s="95">
        <f>Data!C17</f>
        <v>0</v>
      </c>
      <c r="D79" s="131" t="e">
        <f>C79/$C$74</f>
        <v>#DIV/0!</v>
      </c>
      <c r="E79" s="149">
        <f>C79</f>
        <v>0</v>
      </c>
      <c r="F79" s="150" t="e">
        <f>E79/$E$74</f>
        <v>#DIV/0!</v>
      </c>
    </row>
    <row r="80" spans="1:9" ht="15" customHeight="1" x14ac:dyDescent="0.4">
      <c r="B80" s="28" t="s">
        <v>135</v>
      </c>
      <c r="C80" s="95">
        <f>Data!C14+MAX(Data!C15,0)</f>
        <v>0</v>
      </c>
      <c r="D80" s="131" t="e">
        <f>C80/$C$74</f>
        <v>#DIV/0!</v>
      </c>
      <c r="E80" s="149">
        <f>4%*E74</f>
        <v>0</v>
      </c>
      <c r="F80" s="150" t="e">
        <f t="shared" ref="F80:F83" si="8">E80/$E$74</f>
        <v>#DIV/0!</v>
      </c>
    </row>
    <row r="81" spans="1:8" ht="15" customHeight="1" x14ac:dyDescent="0.4">
      <c r="B81" s="28" t="s">
        <v>113</v>
      </c>
      <c r="C81" s="95">
        <f>MAX(Data!C16,0)</f>
        <v>0</v>
      </c>
      <c r="D81" s="131" t="e">
        <f>C81/$C$74</f>
        <v>#DIV/0!</v>
      </c>
      <c r="E81" s="149">
        <f>C81</f>
        <v>0</v>
      </c>
      <c r="F81" s="150" t="e">
        <f t="shared" si="8"/>
        <v>#DIV/0!</v>
      </c>
      <c r="H81" s="125" t="s">
        <v>141</v>
      </c>
    </row>
    <row r="82" spans="1:8" ht="15" customHeight="1" x14ac:dyDescent="0.4">
      <c r="B82" s="79" t="s">
        <v>192</v>
      </c>
      <c r="C82" s="95">
        <f>MAX(Data!C18,0)</f>
        <v>0</v>
      </c>
      <c r="D82" s="131" t="e">
        <f>C82/$C$74</f>
        <v>#DIV/0!</v>
      </c>
      <c r="E82" s="149">
        <f>E74*0.08%</f>
        <v>0</v>
      </c>
      <c r="F82" s="150" t="e">
        <f t="shared" si="8"/>
        <v>#DIV/0!</v>
      </c>
    </row>
    <row r="83" spans="1:8" ht="15" customHeight="1" thickBot="1" x14ac:dyDescent="0.45">
      <c r="B83" s="119" t="s">
        <v>134</v>
      </c>
      <c r="C83" s="100">
        <f>C78-C79-C80-C81-C82</f>
        <v>0</v>
      </c>
      <c r="D83" s="133" t="e">
        <f>C83/$C$74</f>
        <v>#DIV/0!</v>
      </c>
      <c r="E83" s="152" t="e">
        <f>E78-E79-E80-E81-E82</f>
        <v>#DIV/0!</v>
      </c>
      <c r="F83" s="135" t="e">
        <f t="shared" si="8"/>
        <v>#DIV/0!</v>
      </c>
    </row>
    <row r="84" spans="1:8" ht="15" customHeight="1" thickTop="1" x14ac:dyDescent="0.4">
      <c r="B84" s="28" t="s">
        <v>98</v>
      </c>
      <c r="C84" s="121"/>
      <c r="D84" s="134"/>
      <c r="E84" s="153"/>
      <c r="F84" s="136">
        <v>0.25</v>
      </c>
    </row>
    <row r="85" spans="1:8" ht="15" customHeight="1" x14ac:dyDescent="0.4">
      <c r="B85" s="93" t="s">
        <v>181</v>
      </c>
      <c r="C85" s="118">
        <f>C83*(1-F84)</f>
        <v>0</v>
      </c>
      <c r="D85" s="135" t="e">
        <f>C85/$C$74</f>
        <v>#DIV/0!</v>
      </c>
      <c r="E85" s="154" t="e">
        <f>E83*(1-F84)</f>
        <v>#DIV/0!</v>
      </c>
      <c r="F85" s="135" t="e">
        <f>E85/$E$74</f>
        <v>#DIV/0!</v>
      </c>
    </row>
    <row r="86" spans="1:8" ht="15" customHeight="1" x14ac:dyDescent="0.4">
      <c r="B86" s="94" t="s">
        <v>176</v>
      </c>
      <c r="C86" s="161">
        <f>C85*Data!E3/Common_Shares</f>
        <v>0</v>
      </c>
      <c r="D86" s="130"/>
      <c r="E86" s="163" t="e">
        <f>E85*Data!E3/Common_Shares</f>
        <v>#DIV/0!</v>
      </c>
      <c r="F86" s="130"/>
    </row>
    <row r="87" spans="1:8" ht="15" customHeight="1" x14ac:dyDescent="0.4">
      <c r="B87" s="93" t="s">
        <v>177</v>
      </c>
      <c r="C87" s="164">
        <v>0.15820000000000001</v>
      </c>
      <c r="D87" s="135" t="e">
        <f>C87/C86</f>
        <v>#DIV/0!</v>
      </c>
      <c r="E87" s="162">
        <f>C87</f>
        <v>0.15820000000000001</v>
      </c>
      <c r="F87" s="135" t="e">
        <f>E87/E86</f>
        <v>#DIV/0!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169</v>
      </c>
      <c r="C89" s="21"/>
      <c r="H89" s="50" t="s">
        <v>145</v>
      </c>
    </row>
    <row r="90" spans="1:8" ht="15" customHeight="1" x14ac:dyDescent="0.4">
      <c r="B90" s="10" t="s">
        <v>170</v>
      </c>
      <c r="D90" s="212" t="s">
        <v>171</v>
      </c>
      <c r="E90" s="212"/>
      <c r="G90" s="94"/>
    </row>
    <row r="91" spans="1:8" ht="15" customHeight="1" x14ac:dyDescent="0.4">
      <c r="B91" s="1" t="s">
        <v>196</v>
      </c>
      <c r="C91" s="174" t="s">
        <v>216</v>
      </c>
      <c r="D91" s="206" t="s">
        <v>172</v>
      </c>
      <c r="E91" s="206"/>
      <c r="F91" s="29" t="e">
        <f>E83/C68</f>
        <v>#DIV/0!</v>
      </c>
      <c r="H91" s="187"/>
    </row>
    <row r="92" spans="1:8" ht="15" customHeight="1" x14ac:dyDescent="0.4">
      <c r="B92" s="1" t="str">
        <f>IF(C91="CN",Dashboard!B17,Dashboard!B12)</f>
        <v>Required Return (US)</v>
      </c>
      <c r="C92" s="176">
        <f>IF(C91="CN",Dashboard!C17,IF(C91="US",Dashboard!C12,IF(C91="HK",Dashboard!D12,Dashboard!D17)))</f>
        <v>9.6250000000000002E-2</v>
      </c>
      <c r="D92" s="206" t="s">
        <v>168</v>
      </c>
      <c r="E92" s="206"/>
      <c r="F92" s="137">
        <v>0.02</v>
      </c>
      <c r="H92" s="187"/>
    </row>
    <row r="94" spans="1:8" ht="15" customHeight="1" x14ac:dyDescent="0.4">
      <c r="A94" s="5"/>
      <c r="B94" s="120" t="str">
        <f xml:space="preserve"> "Valuation in "&amp;Data!E3&amp;Dashboard!H3</f>
        <v>Valuation in 1000HKD</v>
      </c>
      <c r="D94" s="165" t="str">
        <f>Dashboard!H3</f>
        <v>HKD</v>
      </c>
    </row>
    <row r="95" spans="1:8" ht="15" customHeight="1" x14ac:dyDescent="0.4">
      <c r="B95" s="1" t="s">
        <v>140</v>
      </c>
      <c r="C95" s="102" t="e">
        <f>E85/(C92-F92)*Exchange_Rate</f>
        <v>#DIV/0!</v>
      </c>
      <c r="D95" s="155" t="e">
        <f>C95*Data!$E$3/Common_Shares</f>
        <v>#DIV/0!</v>
      </c>
    </row>
    <row r="96" spans="1:8" ht="15" customHeight="1" x14ac:dyDescent="0.4">
      <c r="B96" s="28" t="s">
        <v>157</v>
      </c>
      <c r="C96" s="102">
        <f>E82*Exchange_Rate</f>
        <v>0</v>
      </c>
      <c r="D96" s="155">
        <f>C96*Data!$E$3/Common_Shares</f>
        <v>0</v>
      </c>
      <c r="E96" s="94"/>
      <c r="F96" s="138"/>
    </row>
    <row r="97" spans="2:6" ht="15" customHeight="1" thickBot="1" x14ac:dyDescent="0.45">
      <c r="B97" s="119" t="s">
        <v>158</v>
      </c>
      <c r="C97" s="123">
        <f>(E65+MIN(0,E70))*Exchange_Rate</f>
        <v>1319780.8999999999</v>
      </c>
      <c r="D97" s="156">
        <f>C97*Data!$E$3/Common_Shares</f>
        <v>2.2479360478658221</v>
      </c>
      <c r="E97" s="157" t="s">
        <v>143</v>
      </c>
      <c r="F97" s="158" t="s">
        <v>144</v>
      </c>
    </row>
    <row r="98" spans="2:6" ht="15" customHeight="1" thickTop="1" x14ac:dyDescent="0.4">
      <c r="B98" s="1" t="s">
        <v>119</v>
      </c>
      <c r="C98" s="102" t="e">
        <f>C95-C96+$C$97</f>
        <v>#DIV/0!</v>
      </c>
      <c r="D98" s="124" t="e">
        <f>MAX(C98*Data!$E$3/Common_Shares,0)</f>
        <v>#DIV/0!</v>
      </c>
      <c r="E98" s="124" t="e">
        <f>D98*(1-25%)</f>
        <v>#DIV/0!</v>
      </c>
      <c r="F98" s="124" t="e">
        <f>D98*1.25</f>
        <v>#DIV/0!</v>
      </c>
    </row>
    <row r="100" spans="2:6" ht="15" customHeight="1" x14ac:dyDescent="0.4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4">
      <c r="B101" s="1" t="s">
        <v>178</v>
      </c>
      <c r="C101" s="102">
        <f>D101*Common_Shares/Data!E3</f>
        <v>1218104.4179672133</v>
      </c>
      <c r="D101" s="155">
        <f>E87/(C92-F92)*Exchange_Rate</f>
        <v>2.0747540983606561</v>
      </c>
      <c r="E101" s="124">
        <f>D101*(1-25%)</f>
        <v>1.556065573770492</v>
      </c>
      <c r="F101" s="124">
        <f>D101*1.25</f>
        <v>2.5934426229508203</v>
      </c>
    </row>
    <row r="103" spans="2:6" ht="15" customHeight="1" x14ac:dyDescent="0.4">
      <c r="B103" s="10" t="s">
        <v>228</v>
      </c>
      <c r="D103" s="213" t="str">
        <f>D100</f>
        <v>HKD</v>
      </c>
      <c r="E103" s="157" t="s">
        <v>143</v>
      </c>
      <c r="F103" s="158" t="s">
        <v>144</v>
      </c>
    </row>
    <row r="104" spans="2:6" ht="15" customHeight="1" x14ac:dyDescent="0.4">
      <c r="B104" s="1" t="s">
        <v>229</v>
      </c>
      <c r="C104" s="102" t="e">
        <f>D104*Common_Shares/Data!E3</f>
        <v>#DIV/0!</v>
      </c>
      <c r="D104" s="155" t="e">
        <f>(D98+D101)/2</f>
        <v>#DIV/0!</v>
      </c>
      <c r="E104" s="124" t="e">
        <f>D104*(1-25%)</f>
        <v>#DIV/0!</v>
      </c>
      <c r="F104" s="124" t="e">
        <f>D104*1.25</f>
        <v>#DIV/0!</v>
      </c>
    </row>
    <row r="106" spans="2:6" ht="15" customHeight="1" x14ac:dyDescent="0.4">
      <c r="B106" s="10" t="s">
        <v>182</v>
      </c>
      <c r="C106" s="166" t="s">
        <v>215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6">
    <cfRule type="containsBlanks" dxfId="3" priority="2">
      <formula>LEN(TRIM(C106))=0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2024-10-28T10:21:22Z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