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4825BC1-10C8-4593-BFE2-E927F778EC94}" xr6:coauthVersionLast="47" xr6:coauthVersionMax="47" xr10:uidLastSave="{00000000-0000-0000-0000-000000000000}"/>
  <bookViews>
    <workbookView xWindow="735" yWindow="735" windowWidth="12690" windowHeight="7643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10" i="2" l="1"/>
  <c r="C10" i="2"/>
  <c r="E87" i="3" l="1"/>
  <c r="C92" i="3"/>
  <c r="D101" i="3" l="1"/>
  <c r="B92" i="3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E80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<sst xmlns="http://schemas.openxmlformats.org/spreadsheetml/2006/main" count="253" uniqueCount="232">
  <si>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</si>
  <si>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</si>
  <si>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</si>
  <si>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</si>
  <si>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</si>
  <si>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</si>
  <si>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</si>
  <si>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</si>
  <si>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</si>
  <si>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</si>
  <si>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</si>
  <si>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</si>
  <si>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</si>
  <si>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</si>
  <si>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</si>
  <si>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</si>
  <si>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</si>
  <si>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</si>
  <si>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</si>
  <si>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</si>
  <si>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</si>
  <si>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</si>
  <si>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</si>
  <si>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</si>
  <si>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</si>
  <si>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</si>
  <si>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</si>
  <si>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</si>
  <si>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</si>
  <si>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</si>
  <si>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</si>
  <si>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</si>
  <si>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</si>
  <si>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</si>
  <si>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</si>
  <si>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</si>
  <si>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</si>
  <si>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</si>
  <si>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</si>
  <si>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</si>
  <si>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</si>
  <si>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</si>
  <si>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</si>
  <si>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</si>
  <si>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</si>
  <si>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</si>
  <si>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</si>
  <si>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</si>
  <si>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</si>
  <si>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</si>
  <si>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</si>
  <si>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</si>
  <si>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</si>
  <si>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</si>
  <si>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</si>
  <si>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</si>
  <si>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</si>
  <si>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</si>
  <si>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</si>
  <si>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</si>
  <si>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</si>
  <si>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</si>
  <si>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</si>
  <si>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</si>
  <si>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</si>
  <si>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</si>
  <si>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</si>
  <si>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</si>
  <si>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</si>
  <si>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</si>
  <si>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</si>
  <si>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</si>
  <si>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</si>
  <si>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</si>
  <si>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</si>
  <si>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</si>
  <si>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</si>
  <si>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</si>
  <si>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</si>
  <si>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</si>
  <si>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</si>
  <si>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</si>
  <si>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</si>
  <si>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</si>
  <si>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</si>
  <si>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</si>
  <si>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</si>
  <si>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</si>
  <si>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</si>
  <si>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</si>
  <si>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</si>
  <si>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</si>
  <si>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</si>
  <si>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</si>
  <si>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</si>
  <si>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</si>
  <si>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</si>
  <si>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</si>
  <si>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</si>
  <si>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</si>
  <si>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</si>
  <si>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</si>
  <si>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</si>
  <si>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</si>
  <si>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</si>
  <si>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</si>
  <si>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</si>
  <si>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</si>
  <si>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</si>
  <si>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</si>
  <si>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</si>
  <si>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</si>
  <si>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</si>
  <si>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</si>
  <si>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</si>
  <si>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</si>
  <si>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</si>
  <si>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</si>
  <si>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</si>
  <si>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</si>
  <si>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</si>
  <si>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</si>
  <si>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</si>
  <si>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</si>
  <si>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</si>
  <si>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</si>
  <si>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</si>
  <si>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</si>
  <si>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</si>
  <si>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</si>
  <si>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</si>
  <si>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</si>
  <si>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</si>
  <si>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</si>
  <si>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</si>
  <si>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</si>
  <si>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</si>
  <si>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</si>
  <si>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</si>
  <si>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</si>
  <si>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</si>
  <si>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</si>
  <si>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</si>
  <si>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</si>
  <si>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</si>
  <si>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</si>
  <si>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</si>
  <si>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</si>
  <si>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</si>
  <si>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</si>
  <si>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</si>
  <si>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</si>
  <si>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</si>
  <si>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</si>
  <si>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</si>
  <si>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</si>
  <si>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</si>
  <si>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</si>
  <si>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</si>
  <si>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</si>
  <si>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</si>
  <si>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</si>
  <si>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</si>
  <si>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</si>
  <si>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</si>
  <si>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</si>
  <si>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</si>
  <si>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</si>
  <si>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</si>
  <si>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</si>
  <si>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</si>
  <si>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</si>
  <si>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</si>
  <si>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</si>
  <si>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</si>
  <si>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</si>
  <si>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</si>
  <si>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</si>
  <si>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</si>
  <si>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</si>
  <si>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</si>
  <si>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</si>
  <si>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</si>
  <si>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</si>
  <si>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</si>
  <si>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</si>
  <si>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</si>
  <si>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</si>
  <si>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</si>
  <si>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</si>
  <si>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</si>
  <si>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</si>
  <si>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</si>
  <si>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</si>
  <si>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</si>
  <si>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</si>
  <si>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</si>
  <si>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</si>
  <si>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</si>
  <si>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</si>
  <si>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</si>
  <si>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</si>
  <si>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</si>
  <si>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</si>
  <si>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</si>
  <si>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</si>
  <si>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</si>
  <si>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</si>
  <si>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</si>
  <si>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</si>
  <si>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</si>
  <si>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</si>
  <si>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</si>
  <si>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</si>
  <si>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</si>
  <si>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</si>
  <si>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</si>
  <si>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</si>
  <si>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</si>
  <si>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</si>
  <si>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</si>
  <si>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</si>
  <si>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</si>
  <si>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</si>
  <si>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</si>
  <si>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</si>
  <si>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</si>
  <si>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</si>
  <si>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</si>
  <si>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0268.HK</t>
  </si>
  <si>
    <t>C0009</t>
  </si>
  <si>
    <t>金蝶国际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</si>
</sst>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H29" sqref="H2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0268.HK : 金蝶国际</v>
      </c>
      <c r="D2" s="94"/>
      <c r="E2" s="7"/>
      <c r="F2" s="7"/>
      <c r="G2" s="93"/>
      <c r="H2" s="93"/>
    </row>
    <row r="3" spans="1:10" ht="15.75" customHeight="1" x14ac:dyDescent="0.4">
      <c r="B3" s="3" t="s">
        <v>217</v>
      </c>
      <c r="C3" s="201" t="s">
        <v>229</v>
      </c>
      <c r="D3" s="202"/>
      <c r="E3" s="94"/>
      <c r="F3" s="3" t="s">
        <v>1</v>
      </c>
      <c r="G3" s="169">
        <v>8.6099996566772461</v>
      </c>
      <c r="H3" s="171" t="s">
        <v>2</v>
      </c>
    </row>
    <row r="4" spans="1:10" ht="15.75" customHeight="1" x14ac:dyDescent="0.5">
      <c r="B4" s="35" t="s">
        <v>218</v>
      </c>
      <c r="C4" s="203" t="s">
        <v>231</v>
      </c>
      <c r="D4" s="204"/>
      <c r="E4" s="94"/>
      <c r="F4" s="3" t="s">
        <v>3</v>
      </c>
      <c r="G4" s="207">
        <v>3585854271</v>
      </c>
      <c r="H4" s="207"/>
      <c r="I4" s="39"/>
    </row>
    <row r="5" spans="1:10" ht="15.75" customHeight="1" x14ac:dyDescent="0.4">
      <c r="B5" s="3" t="s">
        <v>178</v>
      </c>
      <c r="C5" s="205">
        <v>45603</v>
      </c>
      <c r="D5" s="206"/>
      <c r="E5" s="34"/>
      <c r="F5" s="35" t="s">
        <v>102</v>
      </c>
      <c r="G5" s="199">
        <f>G3*G4/1000000</f>
        <v>30874.204042204634</v>
      </c>
      <c r="H5" s="199"/>
      <c r="I5" s="38"/>
      <c r="J5" s="28"/>
    </row>
    <row r="6" spans="1:10" ht="15.75" customHeight="1" x14ac:dyDescent="0.4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228</v>
      </c>
      <c r="H6" s="200"/>
      <c r="I6" s="38"/>
    </row>
    <row r="7" spans="1:10" ht="15.75" customHeight="1" x14ac:dyDescent="0.4">
      <c r="B7" s="93" t="s">
        <v>215</v>
      </c>
      <c r="C7" s="186" t="s">
        <v>71</v>
      </c>
      <c r="D7" s="192" t="s">
        <v>230</v>
      </c>
      <c r="E7" s="94"/>
      <c r="F7" s="35" t="s">
        <v>6</v>
      </c>
      <c r="G7" s="170">
        <v>1.0876400073369343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77" t="s">
        <v>213</v>
      </c>
      <c r="F9" s="183" t="s">
        <v>206</v>
      </c>
    </row>
    <row r="10" spans="1:10" ht="15.75" customHeight="1" x14ac:dyDescent="0.4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1">
        <v>5.3099999999999994E-2</v>
      </c>
      <c r="D11" s="174" t="s">
        <v>211</v>
      </c>
      <c r="F11" s="125" t="s">
        <v>197</v>
      </c>
    </row>
    <row r="12" spans="1:10" ht="15.75" customHeight="1" thickTop="1" x14ac:dyDescent="0.4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1">
        <v>0.16</v>
      </c>
      <c r="D16" s="191" t="s">
        <v>212</v>
      </c>
      <c r="F16" s="125" t="s">
        <v>198</v>
      </c>
    </row>
    <row r="17" spans="1:8" ht="15.75" customHeight="1" thickTop="1" x14ac:dyDescent="0.4">
      <c r="B17" s="94" t="s">
        <v>201</v>
      </c>
      <c r="C17" s="190">
        <v>8.8000000000000009E-2</v>
      </c>
      <c r="D17" s="185"/>
    </row>
    <row r="18" spans="1:8" ht="15.75" customHeight="1" x14ac:dyDescent="0.4"/>
    <row r="19" spans="1:8" ht="15.75" customHeight="1" x14ac:dyDescent="0.4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4" t="s">
        <v>185</v>
      </c>
      <c r="C20" s="175">
        <f>Fin_Analysis!F75</f>
        <v>0.35834792051449244</v>
      </c>
      <c r="F20" s="94"/>
      <c r="G20" s="29"/>
    </row>
    <row r="21" spans="1:8" ht="15.75" customHeight="1" x14ac:dyDescent="0.4">
      <c r="B21" s="174" t="s">
        <v>186</v>
      </c>
      <c r="C21" s="175">
        <f>Fin_Analysis!F77</f>
        <v>0.49473021389230248</v>
      </c>
      <c r="F21" s="94"/>
      <c r="G21" s="29"/>
    </row>
    <row r="22" spans="1:8" ht="15.75" customHeight="1" x14ac:dyDescent="0.4">
      <c r="B22" s="174" t="s">
        <v>187</v>
      </c>
      <c r="C22" s="175">
        <f>Fin_Analysis!F79</f>
        <v>3.8655956702792868E-3</v>
      </c>
      <c r="F22" s="182" t="s">
        <v>205</v>
      </c>
    </row>
    <row r="23" spans="1:8" ht="15.75" customHeight="1" x14ac:dyDescent="0.4">
      <c r="B23" s="174" t="s">
        <v>188</v>
      </c>
      <c r="C23" s="175">
        <f>Fin_Analysis!F80</f>
        <v>0.03</v>
      </c>
      <c r="F23" s="178" t="s">
        <v>209</v>
      </c>
      <c r="G23" s="184">
        <f>G3/(Data!C34*Data!E3/Common_Shares*Exchange_Rate)</f>
        <v>2.2066731365165815</v>
      </c>
    </row>
    <row r="24" spans="1:8" ht="15.75" customHeight="1" x14ac:dyDescent="0.4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1.6963785462400429E-2</v>
      </c>
    </row>
    <row r="25" spans="1:8" ht="15.75" customHeight="1" x14ac:dyDescent="0.4">
      <c r="B25" s="174" t="s">
        <v>214</v>
      </c>
      <c r="C25" s="175">
        <f>Fin_Analysis!F82</f>
        <v>0</v>
      </c>
      <c r="F25" s="178" t="s">
        <v>193</v>
      </c>
      <c r="G25" s="175">
        <f>Fin_Analysis!F87</f>
        <v>0</v>
      </c>
    </row>
    <row r="26" spans="1:8" ht="15.75" customHeight="1" x14ac:dyDescent="0.4">
      <c r="B26" s="176" t="s">
        <v>191</v>
      </c>
      <c r="C26" s="175">
        <f>Fin_Analysis!F83</f>
        <v>0.11305626992292581</v>
      </c>
      <c r="F26" s="180" t="s">
        <v>216</v>
      </c>
      <c r="G26" s="179">
        <f>Fin_Analysis!E87*Exchange_Rate/G3</f>
        <v>0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6">
        <f>IF(Fin_Analysis!C106="Profit",Fin_Analysis!E98,IF(Fin_Analysis!C106="Dividend",Fin_Analysis!E101,Fin_Analysis!E104))</f>
        <v>1.3445608278523782</v>
      </c>
      <c r="D29" s="165">
        <f>IF(Fin_Analysis!C106="Profit",Fin_Analysis!F98,IF(Fin_Analysis!C106="Dividend",Fin_Analysis!F101,Fin_Analysis!F104))</f>
        <v>1.940626686935798</v>
      </c>
      <c r="E29" s="94"/>
      <c r="F29" s="167">
        <f>IF(Fin_Analysis!C106="Profit",Fin_Analysis!D98,IF(Fin_Analysis!C106="Dividend",Fin_Analysis!D101,Fin_Analysis!D104))</f>
        <v>1.5525013495486384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22" zoomScaleNormal="100" workbookViewId="0">
      <pane xSplit="2" topLeftCell="C1" activePane="topRight" state="frozen"/>
      <selection activeCell="A4" sqref="A4"/>
      <selection pane="topRight" activeCell="D13" sqref="D13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5679073</v>
      </c>
      <c r="D6" s="58">
        <v>4865769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0.1671480910828278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2035084</v>
      </c>
      <c r="D8" s="92">
        <v>1868136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3643989</v>
      </c>
      <c r="D9" s="101">
        <f t="shared" si="2"/>
        <v>2997633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f>2319645+489964</f>
        <v>2809609</v>
      </c>
      <c r="D10" s="92">
        <f>2026584+503857</f>
        <v>2530441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834380</v>
      </c>
      <c r="D13" s="101">
        <f t="shared" ref="D13:M13" si="4">IF(D6="","",(D9-D10+D12))</f>
        <v>467192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>
        <v>1439671</v>
      </c>
      <c r="D14" s="92">
        <v>1295476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21953</v>
      </c>
      <c r="D17" s="92">
        <v>7661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-59916</v>
      </c>
      <c r="D18" s="92">
        <v>-63246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-627244</v>
      </c>
      <c r="D19" s="95">
        <f>IF(D6="","",D13-D14-MAX(D15,0)-MAX(D16,0)-D17-MAX(D18/(1-Fin_Analysis!$F$84),0))</f>
        <v>-835945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0.24965876941664822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-8.2836230490433913E-2</v>
      </c>
      <c r="D21" s="56">
        <f t="shared" si="6"/>
        <v>-0.12885090722555881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-470433</v>
      </c>
      <c r="D22" s="95">
        <f>IF(D6="","",D19*(1-Fin_Analysis!$F$84))</f>
        <v>-626958.75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0.24965876941664822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-4.5027899618086537E-2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0.35834792051449244</v>
      </c>
      <c r="D40" s="61">
        <f t="shared" si="21"/>
        <v>0.38393437912897221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0.49473021389230248</v>
      </c>
      <c r="D41" s="56">
        <f t="shared" si="22"/>
        <v>0.5200495543458804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0.25350457724350434</v>
      </c>
      <c r="D42" s="56">
        <f t="shared" si="23"/>
        <v>0.26624280766308472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3.8655956702792868E-3</v>
      </c>
      <c r="D44" s="56">
        <f t="shared" si="25"/>
        <v>1.5744684961411033E-3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0</v>
      </c>
      <c r="D45" s="56">
        <f>IF(D6="","",MAX(D18,0)/(1-Fin_Analysis!$F$84)/D6)</f>
        <v>0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-0.11044830732057855</v>
      </c>
      <c r="D46" s="56">
        <f t="shared" si="26"/>
        <v>-0.17180120963407838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4.6798658865628243E-2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1.7031399314641669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-0.64723248070150452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-3.4999139091007644E-2</v>
      </c>
      <c r="D53" s="56">
        <f t="shared" si="31"/>
        <v>-9.1644785243048289E-3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topLeftCell="A62" zoomScaleNormal="100" workbookViewId="0">
      <selection activeCell="E87" sqref="E87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4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4059791.6549542905</v>
      </c>
      <c r="E6" s="56">
        <f>1-D6/D3</f>
        <v>0.68440424084874651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1.2313918781059434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219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3.9" x14ac:dyDescent="0.4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3.9" x14ac:dyDescent="0.4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4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4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3.9" x14ac:dyDescent="0.4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4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7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4">
      <c r="B73" s="12" t="str">
        <f>"(Numbers in "&amp;Data!E3&amp;Dashboard!G6&amp;")"</f>
        <v>(Numbers in 1000CNY)</v>
      </c>
      <c r="C73" s="212" t="s">
        <v>103</v>
      </c>
      <c r="D73" s="212"/>
      <c r="E73" s="214" t="s">
        <v>104</v>
      </c>
      <c r="F73" s="212"/>
    </row>
    <row r="74" spans="1:9" ht="15" customHeight="1" x14ac:dyDescent="0.4">
      <c r="B74" s="3" t="s">
        <v>136</v>
      </c>
      <c r="C74" s="95">
        <f>Data!C6</f>
        <v>5679073</v>
      </c>
      <c r="D74" s="130"/>
      <c r="E74" s="148">
        <f>C74</f>
        <v>5679073</v>
      </c>
      <c r="F74" s="130"/>
    </row>
    <row r="75" spans="1:9" ht="15" customHeight="1" x14ac:dyDescent="0.4">
      <c r="B75" s="117" t="s">
        <v>109</v>
      </c>
      <c r="C75" s="95">
        <f>Data!C8</f>
        <v>2035084</v>
      </c>
      <c r="D75" s="131">
        <f>C75/$C$74</f>
        <v>0.35834792051449244</v>
      </c>
      <c r="E75" s="148">
        <f>D75*E74</f>
        <v>2035084</v>
      </c>
      <c r="F75" s="149">
        <f>E75/$E$74</f>
        <v>0.35834792051449244</v>
      </c>
    </row>
    <row r="76" spans="1:9" ht="15" customHeight="1" x14ac:dyDescent="0.4">
      <c r="B76" s="35" t="s">
        <v>96</v>
      </c>
      <c r="C76" s="118">
        <f>C74-C75</f>
        <v>3643989</v>
      </c>
      <c r="D76" s="132"/>
      <c r="E76" s="150">
        <f>E74-E75</f>
        <v>3643989</v>
      </c>
      <c r="F76" s="132"/>
    </row>
    <row r="77" spans="1:9" ht="15" customHeight="1" x14ac:dyDescent="0.4">
      <c r="B77" s="117" t="s">
        <v>133</v>
      </c>
      <c r="C77" s="95">
        <f>Data!C10-Data!C12</f>
        <v>2809609</v>
      </c>
      <c r="D77" s="131">
        <f>C77/$C$74</f>
        <v>0.49473021389230248</v>
      </c>
      <c r="E77" s="148">
        <f>D77*E74</f>
        <v>2809609</v>
      </c>
      <c r="F77" s="149">
        <f>E77/$E$74</f>
        <v>0.49473021389230248</v>
      </c>
    </row>
    <row r="78" spans="1:9" ht="15" customHeight="1" x14ac:dyDescent="0.4">
      <c r="B78" s="35" t="s">
        <v>97</v>
      </c>
      <c r="C78" s="118">
        <f>C76-C77</f>
        <v>834380</v>
      </c>
      <c r="D78" s="132"/>
      <c r="E78" s="150">
        <f>E76-E77</f>
        <v>834380</v>
      </c>
      <c r="F78" s="132"/>
    </row>
    <row r="79" spans="1:9" ht="15" customHeight="1" x14ac:dyDescent="0.4">
      <c r="B79" s="117" t="s">
        <v>129</v>
      </c>
      <c r="C79" s="95">
        <f>Data!C17</f>
        <v>21953</v>
      </c>
      <c r="D79" s="131">
        <f>C79/$C$74</f>
        <v>3.8655956702792868E-3</v>
      </c>
      <c r="E79" s="148">
        <f>C79</f>
        <v>21953</v>
      </c>
      <c r="F79" s="149">
        <f>E79/$E$74</f>
        <v>3.8655956702792868E-3</v>
      </c>
    </row>
    <row r="80" spans="1:9" ht="15" customHeight="1" x14ac:dyDescent="0.4">
      <c r="B80" s="28" t="s">
        <v>135</v>
      </c>
      <c r="C80" s="95">
        <f>Data!C14+MAX(Data!C15,0)</f>
        <v>1439671</v>
      </c>
      <c r="D80" s="131">
        <f>C80/$C$74</f>
        <v>0.25350457724350434</v>
      </c>
      <c r="E80" s="148">
        <f>3%*E74</f>
        <v>170372.19</v>
      </c>
      <c r="F80" s="149">
        <f t="shared" ref="F80:F83" si="8">E80/$E$74</f>
        <v>0.03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0</v>
      </c>
      <c r="D82" s="131">
        <f>C82/$C$74</f>
        <v>0</v>
      </c>
      <c r="E82" s="148">
        <v>0</v>
      </c>
      <c r="F82" s="149">
        <f t="shared" si="8"/>
        <v>0</v>
      </c>
    </row>
    <row r="83" spans="1:8" ht="15" customHeight="1" thickBot="1" x14ac:dyDescent="0.45">
      <c r="B83" s="119" t="s">
        <v>134</v>
      </c>
      <c r="C83" s="100">
        <f>C78-C79-C80-C81-C82</f>
        <v>-627244</v>
      </c>
      <c r="D83" s="133">
        <f>C83/$C$74</f>
        <v>-0.11044830732057855</v>
      </c>
      <c r="E83" s="151">
        <f>E78-E79-E80-E81-E82</f>
        <v>642054.81000000006</v>
      </c>
      <c r="F83" s="135">
        <f t="shared" si="8"/>
        <v>0.11305626992292581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4">
      <c r="B85" s="93" t="s">
        <v>179</v>
      </c>
      <c r="C85" s="118">
        <f>C83*(1-F84)</f>
        <v>-470433</v>
      </c>
      <c r="D85" s="135">
        <f>C85/$C$74</f>
        <v>-8.2836230490433913E-2</v>
      </c>
      <c r="E85" s="153">
        <f>E83*(1-F84)</f>
        <v>481541.10750000004</v>
      </c>
      <c r="F85" s="135">
        <f>E85/$E$74</f>
        <v>8.4792202442194362E-2</v>
      </c>
    </row>
    <row r="86" spans="1:8" ht="15" customHeight="1" x14ac:dyDescent="0.4">
      <c r="B86" s="94" t="s">
        <v>174</v>
      </c>
      <c r="C86" s="159">
        <f>C85*Data!E3/Common_Shares</f>
        <v>-0.13119133251023296</v>
      </c>
      <c r="D86" s="130"/>
      <c r="E86" s="161">
        <f>E85*Data!E3/Common_Shares</f>
        <v>0.13428909016029561</v>
      </c>
      <c r="F86" s="130"/>
    </row>
    <row r="87" spans="1:8" ht="15" customHeight="1" x14ac:dyDescent="0.4">
      <c r="B87" s="93" t="s">
        <v>175</v>
      </c>
      <c r="C87" s="162">
        <v>0</v>
      </c>
      <c r="D87" s="135">
        <f>C87/C86</f>
        <v>0</v>
      </c>
      <c r="E87" s="160">
        <f>C87</f>
        <v>0</v>
      </c>
      <c r="F87" s="135">
        <f>E87/E86</f>
        <v>0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4">
      <c r="B91" s="1" t="s">
        <v>192</v>
      </c>
      <c r="C91" s="64" t="s">
        <v>227</v>
      </c>
      <c r="D91" s="211" t="s">
        <v>220</v>
      </c>
      <c r="E91" s="211"/>
      <c r="F91" s="29">
        <f>E86*Exchange_Rate/Dashboard!G3</f>
        <v>1.6963785462400429E-2</v>
      </c>
      <c r="H91" s="195"/>
    </row>
    <row r="92" spans="1:8" ht="15" customHeight="1" x14ac:dyDescent="0.4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221</v>
      </c>
      <c r="F92" s="193">
        <f>FV(F91,D92,0,-(E86/C92))</f>
        <v>1.6599136570004553</v>
      </c>
      <c r="H92" s="195"/>
    </row>
    <row r="93" spans="1:8" ht="15" customHeight="1" x14ac:dyDescent="0.4">
      <c r="H93" s="24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223</v>
      </c>
      <c r="E94" s="155" t="s">
        <v>224</v>
      </c>
      <c r="H94" s="24"/>
    </row>
    <row r="95" spans="1:8" ht="15" customHeight="1" x14ac:dyDescent="0.4">
      <c r="B95" s="1" t="s">
        <v>140</v>
      </c>
      <c r="C95" s="102">
        <f>D95*Common_Shares/Data!E3</f>
        <v>4246379.7614953974</v>
      </c>
      <c r="D95" s="154">
        <f>PV(C92,D92,0,-F92)*Exchange_Rate</f>
        <v>1.1842031049162502</v>
      </c>
      <c r="E95" s="154">
        <f>PV(15%,D92,0,-F92)*Exchange_Rate</f>
        <v>0.89759716140853441</v>
      </c>
      <c r="H95" s="24"/>
    </row>
    <row r="96" spans="1:8" ht="15" customHeight="1" x14ac:dyDescent="0.4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45">
      <c r="B97" s="119" t="s">
        <v>158</v>
      </c>
      <c r="C97" s="123">
        <f>(E65+MIN(0,E70))*Exchange_Rate</f>
        <v>1320663.8335168522</v>
      </c>
      <c r="D97" s="197">
        <f>C97*Data!$E$3/Common_Shares</f>
        <v>0.36829824463238825</v>
      </c>
      <c r="E97" s="198"/>
      <c r="F97" s="156" t="s">
        <v>144</v>
      </c>
      <c r="H97" s="24"/>
    </row>
    <row r="98" spans="2:8" ht="15" customHeight="1" thickTop="1" x14ac:dyDescent="0.4">
      <c r="B98" s="1" t="s">
        <v>119</v>
      </c>
      <c r="C98" s="102">
        <f>C95-C96+$C$97</f>
        <v>5567043.5950122494</v>
      </c>
      <c r="D98" s="124">
        <f>MAX(C98*Data!$E$3/Common_Shares,0)</f>
        <v>1.5525013495486384</v>
      </c>
      <c r="E98" s="124">
        <f>E95*Exchange_Rate-D96+D97</f>
        <v>1.3445608278523782</v>
      </c>
      <c r="F98" s="124">
        <f>D98*1.25</f>
        <v>1.940626686935798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4">
      <c r="B101" s="1" t="s">
        <v>176</v>
      </c>
      <c r="C101" s="102">
        <f>D101*Common_Shares/Data!E3</f>
        <v>0</v>
      </c>
      <c r="D101" s="154">
        <f>E87/(C92-2%)*Exchange_Rate</f>
        <v>0</v>
      </c>
      <c r="E101" s="124">
        <f>D101*(1-25%)</f>
        <v>0</v>
      </c>
      <c r="F101" s="124">
        <f>D101*1.25</f>
        <v>0</v>
      </c>
      <c r="H101" s="24" t="s">
        <v>222</v>
      </c>
    </row>
    <row r="102" spans="2:8" ht="15" customHeight="1" x14ac:dyDescent="0.4">
      <c r="H102" s="24"/>
    </row>
    <row r="103" spans="2:8" ht="15" customHeight="1" x14ac:dyDescent="0.4">
      <c r="B103" s="10" t="s">
        <v>225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4">
      <c r="B104" s="1" t="s">
        <v>226</v>
      </c>
      <c r="C104" s="102">
        <f>D104*Common_Shares/Data!E3</f>
        <v>2783521.7975061247</v>
      </c>
      <c r="D104" s="154">
        <f>(D98+D101)/2</f>
        <v>0.77625067477431919</v>
      </c>
      <c r="E104" s="124">
        <f>D104*(1-25%)</f>
        <v>0.5821880060807394</v>
      </c>
      <c r="F104" s="124">
        <f>D104*1.25</f>
        <v>0.97031334346789899</v>
      </c>
    </row>
    <row r="106" spans="2:8" ht="15" customHeight="1" x14ac:dyDescent="0.4">
      <c r="B106" s="10" t="s">
        <v>180</v>
      </c>
      <c r="C106" s="164" t="s">
        <v>210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2024-11-08T07:35:43Z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