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E0A64A-EA77-4EA2-8BDC-DFF097727A8A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2" i="3" l="1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C87" i="3" l="1"/>
  <c r="E87" i="3" s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19" i="2"/>
  <c r="D20" i="2" s="1"/>
  <c r="G13" i="2"/>
  <c r="G21" i="2" s="1"/>
  <c r="G19" i="2"/>
  <c r="C20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E77" i="3" s="1"/>
  <c r="F77" i="3" s="1"/>
  <c r="C21" i="1" s="1"/>
  <c r="D53" i="2"/>
  <c r="D39" i="2"/>
  <c r="D40" i="2" s="1"/>
  <c r="E24" i="2"/>
  <c r="D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F3" i="2" l="1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<sst xmlns="http://schemas.openxmlformats.org/spreadsheetml/2006/main" count="261" uniqueCount="238">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</sst>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220</v>
      </c>
      <c r="D3" s="212"/>
      <c r="E3" s="90"/>
      <c r="F3" s="3" t="s">
        <v>1</v>
      </c>
      <c r="G3" s="142">
        <v>15.319999694824219</v>
      </c>
      <c r="H3" s="144" t="s">
        <v>2</v>
      </c>
    </row>
    <row r="4" spans="1:10" ht="15.75" customHeight="1" x14ac:dyDescent="0.5">
      <c r="B4" s="35" t="s">
        <v>217</v>
      </c>
      <c r="C4" s="213" t="s">
        <v>219</v>
      </c>
      <c r="D4" s="214"/>
      <c r="E4" s="90"/>
      <c r="F4" s="3" t="s">
        <v>3</v>
      </c>
      <c r="G4" s="217">
        <v>587107850</v>
      </c>
      <c r="H4" s="217"/>
      <c r="I4" s="39"/>
    </row>
    <row r="5" spans="1:10" ht="15.75" customHeight="1" x14ac:dyDescent="0.4">
      <c r="B5" s="3" t="s">
        <v>178</v>
      </c>
      <c r="C5" s="215">
        <v>45593</v>
      </c>
      <c r="D5" s="216"/>
      <c r="E5" s="34"/>
      <c r="F5" s="35" t="s">
        <v>102</v>
      </c>
      <c r="G5" s="209">
        <f>G3*G4/1000000</f>
        <v>8994.4920828289032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10" t="s">
        <v>2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221</v>
      </c>
      <c r="E7" s="90"/>
      <c r="F7" s="35" t="s">
        <v>6</v>
      </c>
      <c r="G7" s="143">
        <v>1</v>
      </c>
      <c r="H7" s="74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0.72762956087193742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0.12012374818624762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3.8885650375487034E-3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0.69920424453217089</v>
      </c>
    </row>
    <row r="24" spans="1:8" ht="15.75" customHeight="1" x14ac:dyDescent="0.4">
      <c r="B24" s="147" t="s">
        <v>189</v>
      </c>
      <c r="C24" s="201">
        <f>Fin_Analysis!F81</f>
        <v>4.0883763120383568E-2</v>
      </c>
      <c r="F24" s="150" t="s">
        <v>194</v>
      </c>
      <c r="G24" s="208">
        <f>(Fin_Analysis!E86*G7)/G3</f>
        <v>9.9008020330583923E-2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0.8966227930318843</v>
      </c>
    </row>
    <row r="26" spans="1:8" ht="15.75" customHeight="1" x14ac:dyDescent="0.4">
      <c r="B26" s="148" t="s">
        <v>191</v>
      </c>
      <c r="C26" s="201">
        <f>Fin_Analysis!F83</f>
        <v>7.7474362783882672E-2</v>
      </c>
      <c r="F26" s="151" t="s">
        <v>215</v>
      </c>
      <c r="G26" s="208">
        <f>Fin_Analysis!E87*Exchange_Rate/G3</f>
        <v>8.8772847721365733E-2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15.937499999999996</v>
      </c>
      <c r="D29" s="139">
        <f>IF(Fin_Analysis!C106="Profit",Fin_Analysis!F98,IF(Fin_Analysis!C106="Dividend",Fin_Analysis!F101,Fin_Analysis!F104))</f>
        <v>26.562499999999996</v>
      </c>
      <c r="E29" s="90"/>
      <c r="F29" s="141">
        <f>IF(Fin_Analysis!C106="Profit",Fin_Analysis!D98,IF(Fin_Analysis!C106="Dividend",Fin_Analysis!D101,Fin_Analysis!D104))</f>
        <v>21.249999999999996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G6" sqref="G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230</v>
      </c>
      <c r="F2" s="127" t="s">
        <v>233</v>
      </c>
      <c r="G2" s="166" t="s">
        <v>234</v>
      </c>
      <c r="H2" s="165" t="s">
        <v>235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45381</v>
      </c>
      <c r="E3" s="164" t="s">
        <v>231</v>
      </c>
      <c r="F3" s="88">
        <f>H19</f>
        <v>1568270</v>
      </c>
      <c r="G3" s="88">
        <f>C19</f>
        <v>1817177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</v>
      </c>
      <c r="D4" s="1" t="str">
        <f>Dashboard!G6</f>
        <v>HKD</v>
      </c>
      <c r="E4" s="164" t="s">
        <v>232</v>
      </c>
      <c r="F4" s="97">
        <f>(G3/F3)^(1/H3)-1</f>
        <v>2.4855727987756815E-2</v>
      </c>
      <c r="J4" s="90"/>
    </row>
    <row r="5" spans="1:14" ht="15.75" customHeight="1" x14ac:dyDescent="0.4">
      <c r="A5" s="16"/>
      <c r="B5" s="123" t="s">
        <v>146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8" t="s">
        <v>12</v>
      </c>
      <c r="C6" s="169">
        <v>15325962</v>
      </c>
      <c r="D6" s="169">
        <v>11977844</v>
      </c>
      <c r="E6" s="169">
        <v>11737803</v>
      </c>
      <c r="F6" s="169">
        <v>8861335</v>
      </c>
      <c r="G6" s="169">
        <v>11233771</v>
      </c>
      <c r="H6" s="169">
        <v>15859990</v>
      </c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0.27952593137796744</v>
      </c>
      <c r="D7" s="96">
        <f t="shared" si="1"/>
        <v>2.0450249505806095E-2</v>
      </c>
      <c r="E7" s="96">
        <f t="shared" si="1"/>
        <v>0.32460887665346139</v>
      </c>
      <c r="F7" s="96">
        <f t="shared" si="1"/>
        <v>-0.21118785490642455</v>
      </c>
      <c r="G7" s="96">
        <f t="shared" si="1"/>
        <v>-0.29169116752280422</v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v>11151623</v>
      </c>
      <c r="D8" s="170">
        <v>8747447</v>
      </c>
      <c r="E8" s="170">
        <v>8503976</v>
      </c>
      <c r="F8" s="170">
        <v>6229020</v>
      </c>
      <c r="G8" s="170">
        <v>7910751</v>
      </c>
      <c r="H8" s="170">
        <v>11826154</v>
      </c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4174339</v>
      </c>
      <c r="D9" s="171">
        <f t="shared" si="2"/>
        <v>3230397</v>
      </c>
      <c r="E9" s="171">
        <f t="shared" si="2"/>
        <v>3233827</v>
      </c>
      <c r="F9" s="171">
        <f t="shared" si="2"/>
        <v>2632315</v>
      </c>
      <c r="G9" s="171">
        <f t="shared" si="2"/>
        <v>3323020</v>
      </c>
      <c r="H9" s="171">
        <f t="shared" si="2"/>
        <v>4033836</v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2297566</v>
      </c>
      <c r="D10" s="170">
        <v>1867515</v>
      </c>
      <c r="E10" s="170">
        <v>1815111</v>
      </c>
      <c r="F10" s="170">
        <v>1694480</v>
      </c>
      <c r="G10" s="170">
        <v>2118252</v>
      </c>
      <c r="H10" s="170">
        <v>2416769</v>
      </c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2.9789581887257714E-2</v>
      </c>
      <c r="D11" s="172">
        <f t="shared" si="3"/>
        <v>3.1156775793707115E-2</v>
      </c>
      <c r="E11" s="172">
        <f t="shared" si="3"/>
        <v>0</v>
      </c>
      <c r="F11" s="172">
        <f t="shared" si="3"/>
        <v>0</v>
      </c>
      <c r="G11" s="172">
        <f t="shared" si="3"/>
        <v>0</v>
      </c>
      <c r="H11" s="172">
        <f t="shared" si="3"/>
        <v>0</v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>
        <v>456554</v>
      </c>
      <c r="D12" s="170">
        <v>373191</v>
      </c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2333327</v>
      </c>
      <c r="D13" s="171">
        <f t="shared" ref="D13:M13" si="4">IF(D6="","",(D9-D10+D12))</f>
        <v>1736073</v>
      </c>
      <c r="E13" s="171">
        <f t="shared" si="4"/>
        <v>1418716</v>
      </c>
      <c r="F13" s="171">
        <f t="shared" si="4"/>
        <v>937835</v>
      </c>
      <c r="G13" s="171">
        <f t="shared" si="4"/>
        <v>1204768</v>
      </c>
      <c r="H13" s="171">
        <f t="shared" si="4"/>
        <v>1617067</v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>
        <v>676387</v>
      </c>
      <c r="D15" s="170">
        <v>107280</v>
      </c>
      <c r="E15" s="170">
        <v>455483</v>
      </c>
      <c r="F15" s="170">
        <v>138937</v>
      </c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>
        <v>626583</v>
      </c>
      <c r="D16" s="170">
        <v>352099</v>
      </c>
      <c r="E16" s="170">
        <v>1045251</v>
      </c>
      <c r="F16" s="170">
        <v>-818677</v>
      </c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59596</v>
      </c>
      <c r="D17" s="170">
        <v>20763</v>
      </c>
      <c r="E17" s="170">
        <v>23097</v>
      </c>
      <c r="F17" s="170">
        <v>28849</v>
      </c>
      <c r="G17" s="170">
        <v>63075</v>
      </c>
      <c r="H17" s="170">
        <v>34253</v>
      </c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-9467</v>
      </c>
      <c r="D18" s="170">
        <v>-30</v>
      </c>
      <c r="E18" s="170">
        <v>-27</v>
      </c>
      <c r="F18" s="170">
        <v>1799</v>
      </c>
      <c r="G18" s="170">
        <v>1337</v>
      </c>
      <c r="H18" s="170">
        <v>10908</v>
      </c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228</v>
      </c>
      <c r="C19" s="80">
        <f>IF(C6="","",C9-C10-C17-MAX(C18/(1-Fin_Analysis!$F$84),0))</f>
        <v>1817177</v>
      </c>
      <c r="D19" s="80">
        <f>IF(D6="","",D9-D10-D17-MAX(D18/(1-Fin_Analysis!$F$84),0))</f>
        <v>1342119</v>
      </c>
      <c r="E19" s="80">
        <f>IF(E6="","",E9-E10-E17-MAX(E18/(1-Fin_Analysis!$F$84),0))</f>
        <v>1395619</v>
      </c>
      <c r="F19" s="80">
        <f>IF(F6="","",F9-F10-F17-MAX(F18/(1-Fin_Analysis!$F$84),0))</f>
        <v>906587.33333333337</v>
      </c>
      <c r="G19" s="80">
        <f>IF(G6="","",G9-G10-G17-MAX(G18/(1-Fin_Analysis!$F$84),0))</f>
        <v>1139910.3333333333</v>
      </c>
      <c r="H19" s="80">
        <f>IF(H6="","",H9-H10-H17-MAX(H18/(1-Fin_Analysis!$F$84),0))</f>
        <v>1568270</v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229</v>
      </c>
      <c r="C20" s="173">
        <f>IF(D19="","",IF(ABS(C19+D19)=ABS(C19)+ABS(D19),IF(C19&lt;0,-1,1)*(C19-D19)/D19,"Turn"))</f>
        <v>0.35396116141713219</v>
      </c>
      <c r="D20" s="173">
        <f t="shared" ref="D20:M20" si="5">IF(E19="","",IF(ABS(D19+E19)=ABS(D19)+ABS(E19),IF(D19&lt;0,-1,1)*(D19-E19)/E19,"Turn"))</f>
        <v>-3.8334244518023905E-2</v>
      </c>
      <c r="E20" s="173">
        <f t="shared" si="5"/>
        <v>0.53942036104629731</v>
      </c>
      <c r="F20" s="173">
        <f t="shared" si="5"/>
        <v>-0.20468539776959055</v>
      </c>
      <c r="G20" s="173">
        <f t="shared" si="5"/>
        <v>-0.27314152962606358</v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970761</v>
      </c>
      <c r="D21" s="80">
        <f>IF(D6="","",D13-D14-MAX(D15,0)-MAX(D16,0)-D17-MAX(D18/(1-Fin_Analysis!$F$84),0))</f>
        <v>1255931</v>
      </c>
      <c r="E21" s="80">
        <f>IF(E6="","",E13-E14-MAX(E15,0)-MAX(E16,0)-E17-MAX(E18/(1-Fin_Analysis!$F$84),0))</f>
        <v>-105115</v>
      </c>
      <c r="F21" s="80">
        <f>IF(F6="","",F13-F14-MAX(F15,0)-MAX(F16,0)-F17-MAX(F18/(1-Fin_Analysis!$F$84),0))</f>
        <v>767650.33333333337</v>
      </c>
      <c r="G21" s="80">
        <f>IF(G6="","",G13-G14-MAX(G15,0)-MAX(G16,0)-G17-MAX(G18/(1-Fin_Analysis!$F$84),0))</f>
        <v>1139910.3333333333</v>
      </c>
      <c r="H21" s="80">
        <f>IF(H6="","",H13-H14-MAX(H15,0)-MAX(H16,0)-H17-MAX(H18/(1-Fin_Analysis!$F$84),0))</f>
        <v>1568270</v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-0.22705865210748041</v>
      </c>
      <c r="D22" s="173" t="str">
        <f t="shared" ref="D22:M22" si="6">IF(E21="","",IF(ABS(D21+E21)=ABS(D21)+ABS(E21),IF(D21&lt;0,-1,1)*(D21-E21)/E21,"Turn"))</f>
        <v>Turn</v>
      </c>
      <c r="E22" s="173" t="str">
        <f t="shared" si="6"/>
        <v>Turn</v>
      </c>
      <c r="F22" s="173">
        <f t="shared" si="6"/>
        <v>-0.32656954596721194</v>
      </c>
      <c r="G22" s="173">
        <f t="shared" si="6"/>
        <v>-0.27314152962606358</v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4.7505712855088637E-2</v>
      </c>
      <c r="D23" s="174">
        <f t="shared" si="7"/>
        <v>7.8640884786944962E-2</v>
      </c>
      <c r="E23" s="174">
        <f t="shared" si="7"/>
        <v>-6.7164400356693665E-3</v>
      </c>
      <c r="F23" s="174">
        <f t="shared" si="7"/>
        <v>6.4971897575252485E-2</v>
      </c>
      <c r="G23" s="174">
        <f t="shared" si="7"/>
        <v>7.6103807884280353E-2</v>
      </c>
      <c r="H23" s="174">
        <f t="shared" si="7"/>
        <v>7.4161616747551548E-2</v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728070.75</v>
      </c>
      <c r="D24" s="80">
        <f>IF(D6="","",D21*(1-Fin_Analysis!$F$84))</f>
        <v>941948.25</v>
      </c>
      <c r="E24" s="80">
        <f>IF(E6="","",E21*(1-Fin_Analysis!$F$84))</f>
        <v>-78836.25</v>
      </c>
      <c r="F24" s="80">
        <f>IF(F6="","",F21*(1-Fin_Analysis!$F$84))</f>
        <v>575737.75</v>
      </c>
      <c r="G24" s="80">
        <f>IF(G6="","",G21*(1-Fin_Analysis!$F$84))</f>
        <v>854932.75</v>
      </c>
      <c r="H24" s="80">
        <f>IF(H6="","",H21*(1-Fin_Analysis!$F$84))</f>
        <v>1176202.5</v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-0.22705865210748041</v>
      </c>
      <c r="D25" s="176" t="str">
        <f t="shared" ref="D25:M25" si="8">IF(E24="","",IF(ABS(D24+E24)=ABS(D24)+ABS(E24),IF(D24&lt;0,-1,1)*(D24-E24)/E24,"Turn"))</f>
        <v>Turn</v>
      </c>
      <c r="E25" s="176" t="str">
        <f t="shared" si="8"/>
        <v>Turn</v>
      </c>
      <c r="F25" s="176">
        <f t="shared" si="8"/>
        <v>-0.32656954596721205</v>
      </c>
      <c r="G25" s="176">
        <f t="shared" si="8"/>
        <v>-0.27314152962606353</v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45381</v>
      </c>
      <c r="D26" s="49">
        <f>D5</f>
        <v>45016</v>
      </c>
      <c r="E26" s="49">
        <f t="shared" ref="E26" si="9">EOMONTH(EDATE(D26,-12),0)</f>
        <v>44651</v>
      </c>
      <c r="F26" s="49">
        <f t="shared" ref="F26" si="10">EOMONTH(EDATE(E26,-12),0)</f>
        <v>44286</v>
      </c>
      <c r="G26" s="49">
        <f t="shared" ref="G26" si="11">EOMONTH(EDATE(F26,-12),0)</f>
        <v>43921</v>
      </c>
      <c r="H26" s="49">
        <f t="shared" ref="H26" si="12">EOMONTH(EDATE(G26,-12),0)</f>
        <v>43555</v>
      </c>
      <c r="I26" s="49">
        <f t="shared" ref="I26" si="13">EOMONTH(EDATE(H26,-12),0)</f>
        <v>43190</v>
      </c>
      <c r="J26" s="49">
        <f t="shared" ref="J26" si="14">EOMONTH(EDATE(I26,-12),0)</f>
        <v>42825</v>
      </c>
      <c r="K26" s="49">
        <f t="shared" ref="K26" si="15">EOMONTH(EDATE(J26,-12),0)</f>
        <v>42460</v>
      </c>
      <c r="L26" s="49">
        <f t="shared" ref="L26" si="16">EOMONTH(EDATE(K26,-12),0)</f>
        <v>42094</v>
      </c>
      <c r="M26" s="49">
        <f t="shared" ref="M26" si="17">EOMONTH(EDATE(L26,-12),0)</f>
        <v>41729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14928506</v>
      </c>
      <c r="E27" s="66">
        <f t="shared" si="18"/>
        <v>16220269</v>
      </c>
      <c r="F27" s="66">
        <f t="shared" si="18"/>
        <v>14512039</v>
      </c>
      <c r="G27" s="66">
        <f t="shared" si="18"/>
        <v>0</v>
      </c>
      <c r="H27" s="66">
        <f t="shared" si="18"/>
        <v>0</v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>
        <v>11972903</v>
      </c>
      <c r="E28" s="170">
        <v>13002006</v>
      </c>
      <c r="F28" s="170">
        <v>11732726</v>
      </c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>
        <v>213823</v>
      </c>
      <c r="E29" s="170">
        <v>187711</v>
      </c>
      <c r="F29" s="170">
        <v>277338</v>
      </c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>
        <v>8852611</v>
      </c>
      <c r="E30" s="170">
        <v>8769304</v>
      </c>
      <c r="F30" s="170">
        <v>7321614</v>
      </c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>
        <v>2466431</v>
      </c>
      <c r="E31" s="170">
        <v>3908586</v>
      </c>
      <c r="F31" s="170">
        <v>2946772</v>
      </c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>
        <v>241133</v>
      </c>
      <c r="E32" s="170">
        <v>233155</v>
      </c>
      <c r="F32" s="170">
        <v>241043</v>
      </c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>
        <v>35175</v>
      </c>
      <c r="E33" s="170">
        <v>1587989</v>
      </c>
      <c r="F33" s="170">
        <v>1050082</v>
      </c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>
        <v>67759</v>
      </c>
      <c r="E34" s="170">
        <v>153013</v>
      </c>
      <c r="F34" s="170">
        <v>81854</v>
      </c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102934</v>
      </c>
      <c r="E35" s="80">
        <f t="shared" si="19"/>
        <v>1741002</v>
      </c>
      <c r="F35" s="80">
        <f t="shared" si="19"/>
        <v>1131936</v>
      </c>
      <c r="G35" s="80">
        <f t="shared" si="19"/>
        <v>0</v>
      </c>
      <c r="H35" s="80">
        <f t="shared" si="19"/>
        <v>0</v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>
        <v>12220942</v>
      </c>
      <c r="E36" s="170">
        <v>12078528</v>
      </c>
      <c r="F36" s="170">
        <v>11324224</v>
      </c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>
        <v>-498</v>
      </c>
      <c r="E37" s="170">
        <v>468</v>
      </c>
      <c r="F37" s="170">
        <v>411</v>
      </c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>
        <v>3475378</v>
      </c>
      <c r="E38" s="170">
        <v>4499643</v>
      </c>
      <c r="F38" s="170">
        <v>4455433</v>
      </c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11453128</v>
      </c>
      <c r="E39" s="66">
        <f t="shared" si="20"/>
        <v>11720626</v>
      </c>
      <c r="F39" s="66">
        <f t="shared" si="20"/>
        <v>10056606</v>
      </c>
      <c r="G39" s="66">
        <f t="shared" si="20"/>
        <v>0</v>
      </c>
      <c r="H39" s="66">
        <f t="shared" si="20"/>
        <v>0</v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6.9687918674635876E-2</v>
      </c>
      <c r="D40" s="177">
        <f t="shared" si="21"/>
        <v>0.10965833962564638</v>
      </c>
      <c r="E40" s="177">
        <f t="shared" si="21"/>
        <v>-8.9683776276113583E-3</v>
      </c>
      <c r="F40" s="177">
        <f t="shared" si="21"/>
        <v>7.6332943075758691E-2</v>
      </c>
      <c r="G40" s="177" t="e">
        <f t="shared" si="21"/>
        <v>#DIV/0!</v>
      </c>
      <c r="H40" s="177" t="e">
        <f t="shared" si="21"/>
        <v>#DIV/0!</v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0.72762956087193742</v>
      </c>
      <c r="D42" s="178">
        <f t="shared" si="22"/>
        <v>0.7303022981431383</v>
      </c>
      <c r="E42" s="178">
        <f t="shared" si="22"/>
        <v>0.7244946946204498</v>
      </c>
      <c r="F42" s="178">
        <f t="shared" si="22"/>
        <v>0.70294374380383995</v>
      </c>
      <c r="G42" s="178">
        <f t="shared" si="22"/>
        <v>0.70419372087965826</v>
      </c>
      <c r="H42" s="178">
        <f t="shared" si="22"/>
        <v>0.74565961264792724</v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0.12012374818624762</v>
      </c>
      <c r="D43" s="174">
        <f t="shared" si="23"/>
        <v>0.12475734364214461</v>
      </c>
      <c r="E43" s="174">
        <f t="shared" si="23"/>
        <v>0.1546380527940365</v>
      </c>
      <c r="F43" s="174">
        <f t="shared" si="23"/>
        <v>0.19122175157580659</v>
      </c>
      <c r="G43" s="174">
        <f t="shared" si="23"/>
        <v>0.18856108069142588</v>
      </c>
      <c r="H43" s="174">
        <f t="shared" si="23"/>
        <v>0.15238149582692045</v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4.413341231043115E-2</v>
      </c>
      <c r="D44" s="174">
        <f t="shared" si="24"/>
        <v>8.9565367523571013E-3</v>
      </c>
      <c r="E44" s="174">
        <f t="shared" si="24"/>
        <v>3.8804791663312119E-2</v>
      </c>
      <c r="F44" s="174">
        <f t="shared" si="24"/>
        <v>1.5679014505150749E-2</v>
      </c>
      <c r="G44" s="174">
        <f t="shared" si="24"/>
        <v>0</v>
      </c>
      <c r="H44" s="174">
        <f t="shared" si="24"/>
        <v>0</v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4.0883763120383568E-2</v>
      </c>
      <c r="D45" s="174">
        <f t="shared" si="25"/>
        <v>2.9395857885609465E-2</v>
      </c>
      <c r="E45" s="174">
        <f t="shared" si="25"/>
        <v>8.9049969572670459E-2</v>
      </c>
      <c r="F45" s="174">
        <f t="shared" si="25"/>
        <v>0</v>
      </c>
      <c r="G45" s="174">
        <f t="shared" si="25"/>
        <v>0</v>
      </c>
      <c r="H45" s="174">
        <f t="shared" si="25"/>
        <v>0</v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3.8885650375487034E-3</v>
      </c>
      <c r="D46" s="174">
        <f t="shared" si="26"/>
        <v>1.7334505274905901E-3</v>
      </c>
      <c r="E46" s="174">
        <f t="shared" si="26"/>
        <v>1.9677447304235723E-3</v>
      </c>
      <c r="F46" s="174">
        <f t="shared" si="26"/>
        <v>3.2556042627888463E-3</v>
      </c>
      <c r="G46" s="174">
        <f t="shared" si="26"/>
        <v>5.6147664039083583E-3</v>
      </c>
      <c r="H46" s="174">
        <f t="shared" si="26"/>
        <v>2.1597113239037349E-3</v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0</v>
      </c>
      <c r="D47" s="174">
        <f>IF(D6="","",MAX(D18,0)/(1-Fin_Analysis!$F$84)/D6)</f>
        <v>0</v>
      </c>
      <c r="E47" s="174">
        <f>IF(E6="","",MAX(E18,0)/(1-Fin_Analysis!$F$84)/E6)</f>
        <v>0</v>
      </c>
      <c r="F47" s="174">
        <f>IF(F6="","",MAX(F18,0)/(1-Fin_Analysis!$F$84)/F6)</f>
        <v>2.7068908541056925E-4</v>
      </c>
      <c r="G47" s="174">
        <f>IF(G6="","",MAX(G18,0)/(1-Fin_Analysis!$F$84)/G6)</f>
        <v>1.5868817930031392E-4</v>
      </c>
      <c r="H47" s="174">
        <f>IF(H6="","",MAX(H18,0)/(1-Fin_Analysis!$F$84)/H6)</f>
        <v>9.1702453784649294E-4</v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6.3340950473451521E-2</v>
      </c>
      <c r="D48" s="174">
        <f t="shared" si="27"/>
        <v>0.10485451304925995</v>
      </c>
      <c r="E48" s="174">
        <f t="shared" si="27"/>
        <v>-8.9552533808924892E-3</v>
      </c>
      <c r="F48" s="174">
        <f t="shared" si="27"/>
        <v>8.6629196767003327E-2</v>
      </c>
      <c r="G48" s="174">
        <f t="shared" si="27"/>
        <v>0.10147174384570713</v>
      </c>
      <c r="H48" s="174">
        <f t="shared" si="27"/>
        <v>9.8882155663402055E-2</v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1.7341358408692387E-2</v>
      </c>
      <c r="D50" s="178">
        <f t="shared" si="28"/>
        <v>1.7851543232655226E-2</v>
      </c>
      <c r="E50" s="178">
        <f t="shared" si="28"/>
        <v>1.5992004636642819E-2</v>
      </c>
      <c r="F50" s="178">
        <f t="shared" si="28"/>
        <v>3.1297541510393184E-2</v>
      </c>
      <c r="G50" s="178">
        <f t="shared" si="28"/>
        <v>0</v>
      </c>
      <c r="H50" s="178">
        <f t="shared" si="28"/>
        <v>0</v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0.63110270011109249</v>
      </c>
      <c r="D51" s="174">
        <f t="shared" si="29"/>
        <v>0.73908217538982812</v>
      </c>
      <c r="E51" s="174">
        <f t="shared" si="29"/>
        <v>0.74709926550990846</v>
      </c>
      <c r="F51" s="174">
        <f t="shared" si="29"/>
        <v>0.82624277267477186</v>
      </c>
      <c r="G51" s="174">
        <f t="shared" si="29"/>
        <v>0</v>
      </c>
      <c r="H51" s="174">
        <f t="shared" si="29"/>
        <v>0</v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>
        <f t="shared" ref="D53:M53" si="30">IF(D36="","",(D27-D36)/D27)</f>
        <v>0.1813687183432823</v>
      </c>
      <c r="E53" s="178">
        <f t="shared" si="30"/>
        <v>0.2553435457821322</v>
      </c>
      <c r="F53" s="178">
        <f t="shared" si="30"/>
        <v>0.21966692619831024</v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1.0016963896000173</v>
      </c>
      <c r="D54" s="179">
        <f t="shared" si="31"/>
        <v>12.201323177958692</v>
      </c>
      <c r="E54" s="179">
        <f t="shared" si="31"/>
        <v>-6.0376151204880865E-2</v>
      </c>
      <c r="F54" s="179">
        <f t="shared" si="31"/>
        <v>0.67817467889821803</v>
      </c>
      <c r="G54" s="179" t="str">
        <f t="shared" si="31"/>
        <v>-</v>
      </c>
      <c r="H54" s="179" t="str">
        <f t="shared" si="31"/>
        <v>-</v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6.1391011793840093E-2</v>
      </c>
      <c r="D55" s="174">
        <f t="shared" si="32"/>
        <v>1.6531959160176794E-2</v>
      </c>
      <c r="E55" s="174">
        <f t="shared" si="32"/>
        <v>-0.21973077106026734</v>
      </c>
      <c r="F55" s="174">
        <f t="shared" si="32"/>
        <v>3.7580912490105083E-2</v>
      </c>
      <c r="G55" s="174">
        <f t="shared" si="32"/>
        <v>5.5333299607483753E-2</v>
      </c>
      <c r="H55" s="174">
        <f t="shared" si="32"/>
        <v>2.1841264578165751E-2</v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>
        <f t="shared" si="33"/>
        <v>4.8543433811852026</v>
      </c>
      <c r="E56" s="180">
        <f t="shared" si="33"/>
        <v>3.3265242212912804</v>
      </c>
      <c r="F56" s="180">
        <f t="shared" si="33"/>
        <v>3.9815520169188523</v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7" zoomScaleNormal="100" workbookViewId="0">
      <selection activeCell="C92" sqref="C9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45381</v>
      </c>
      <c r="E9" s="127" t="str">
        <f>IF(MONTH(D9)=MONTH(Data!C3),"FY","Quarter")</f>
        <v>FY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45381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1000HKD)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15325962</v>
      </c>
      <c r="D74" s="181"/>
      <c r="E74" s="182">
        <f>C74</f>
        <v>15325962</v>
      </c>
      <c r="F74" s="181"/>
    </row>
    <row r="75" spans="1:9" ht="15" customHeight="1" x14ac:dyDescent="0.4">
      <c r="B75" s="109" t="s">
        <v>109</v>
      </c>
      <c r="C75" s="80">
        <f>Data!C8</f>
        <v>11151623</v>
      </c>
      <c r="D75" s="183">
        <f>C75/$C$74</f>
        <v>0.72762956087193742</v>
      </c>
      <c r="E75" s="182">
        <f>D75*E74</f>
        <v>11151623</v>
      </c>
      <c r="F75" s="184">
        <f>E75/$E$74</f>
        <v>0.72762956087193742</v>
      </c>
    </row>
    <row r="76" spans="1:9" ht="15" customHeight="1" x14ac:dyDescent="0.4">
      <c r="B76" s="35" t="s">
        <v>96</v>
      </c>
      <c r="C76" s="185">
        <f>C74-C75</f>
        <v>4174339</v>
      </c>
      <c r="D76" s="186"/>
      <c r="E76" s="187">
        <f>E74-E75</f>
        <v>4174339</v>
      </c>
      <c r="F76" s="186"/>
    </row>
    <row r="77" spans="1:9" ht="15" customHeight="1" x14ac:dyDescent="0.4">
      <c r="B77" s="109" t="s">
        <v>133</v>
      </c>
      <c r="C77" s="80">
        <f>Data!C10-Data!C12</f>
        <v>1841012</v>
      </c>
      <c r="D77" s="183">
        <f>C77/$C$74</f>
        <v>0.12012374818624762</v>
      </c>
      <c r="E77" s="182">
        <f>D77*E74</f>
        <v>1841012</v>
      </c>
      <c r="F77" s="184">
        <f>E77/$E$74</f>
        <v>0.12012374818624762</v>
      </c>
    </row>
    <row r="78" spans="1:9" ht="15" customHeight="1" x14ac:dyDescent="0.4">
      <c r="B78" s="35" t="s">
        <v>97</v>
      </c>
      <c r="C78" s="185">
        <f>C76-C77</f>
        <v>2333327</v>
      </c>
      <c r="D78" s="186"/>
      <c r="E78" s="187">
        <f>E76-E77</f>
        <v>2333327</v>
      </c>
      <c r="F78" s="186"/>
    </row>
    <row r="79" spans="1:9" ht="15" customHeight="1" x14ac:dyDescent="0.4">
      <c r="B79" s="109" t="s">
        <v>129</v>
      </c>
      <c r="C79" s="80">
        <f>Data!C17</f>
        <v>59596</v>
      </c>
      <c r="D79" s="183">
        <f>C79/$C$74</f>
        <v>3.8885650375487034E-3</v>
      </c>
      <c r="E79" s="182">
        <f>C79</f>
        <v>59596</v>
      </c>
      <c r="F79" s="184">
        <f>E79/$E$74</f>
        <v>3.8885650375487034E-3</v>
      </c>
    </row>
    <row r="80" spans="1:9" ht="15" customHeight="1" x14ac:dyDescent="0.4">
      <c r="B80" s="28" t="s">
        <v>135</v>
      </c>
      <c r="C80" s="80">
        <f>Data!C14+MAX(Data!C15,0)</f>
        <v>676387</v>
      </c>
      <c r="D80" s="183">
        <f>C80/$C$74</f>
        <v>4.413341231043115E-2</v>
      </c>
      <c r="E80" s="182">
        <f>3%*E74</f>
        <v>459778.86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626583</v>
      </c>
      <c r="D81" s="183">
        <f>C81/$C$74</f>
        <v>4.0883763120383568E-2</v>
      </c>
      <c r="E81" s="182">
        <f>C81</f>
        <v>626583</v>
      </c>
      <c r="F81" s="184">
        <f t="shared" si="8"/>
        <v>4.0883763120383568E-2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0</v>
      </c>
      <c r="D82" s="183">
        <f>C82/$C$74</f>
        <v>0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970761</v>
      </c>
      <c r="D83" s="189">
        <f>C83/$C$74</f>
        <v>6.3340950473451521E-2</v>
      </c>
      <c r="E83" s="190">
        <f>E78-E79-E80-E81-E82</f>
        <v>1187369.1400000001</v>
      </c>
      <c r="F83" s="191">
        <f t="shared" si="8"/>
        <v>7.7474362783882672E-2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728070.75</v>
      </c>
      <c r="D85" s="191">
        <f>C85/$C$74</f>
        <v>4.7505712855088637E-2</v>
      </c>
      <c r="E85" s="196">
        <f>E83*(1-F84)</f>
        <v>890526.8550000001</v>
      </c>
      <c r="F85" s="191">
        <f>E85/$E$74</f>
        <v>5.8105772087912011E-2</v>
      </c>
    </row>
    <row r="86" spans="1:8" ht="15" customHeight="1" x14ac:dyDescent="0.4">
      <c r="B86" s="90" t="s">
        <v>174</v>
      </c>
      <c r="C86" s="197">
        <f>C85*Data!C4/Common_Shares</f>
        <v>1.2400971133327547</v>
      </c>
      <c r="D86" s="181"/>
      <c r="E86" s="198">
        <f>E85*Data!C4/Common_Shares</f>
        <v>1.5168028412496957</v>
      </c>
      <c r="F86" s="181"/>
    </row>
    <row r="87" spans="1:8" ht="15" customHeight="1" x14ac:dyDescent="0.4">
      <c r="B87" s="89" t="s">
        <v>175</v>
      </c>
      <c r="C87" s="199">
        <f>0.72+0.64</f>
        <v>1.3599999999999999</v>
      </c>
      <c r="D87" s="191">
        <f>C87/C86</f>
        <v>1.0966883039869408</v>
      </c>
      <c r="E87" s="200">
        <f>C87</f>
        <v>1.3599999999999999</v>
      </c>
      <c r="F87" s="191">
        <f>E87/E86</f>
        <v>0.8966227930318843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1" t="s">
        <v>222</v>
      </c>
      <c r="E91" s="221"/>
      <c r="F91" s="29">
        <f>E86*Exchange_Rate/Dashboard!G3</f>
        <v>9.9008020330583923E-2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223</v>
      </c>
      <c r="F92" s="159">
        <f>FV(F91,D92,0,-(E86/C92))</f>
        <v>28.95037253151391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224</v>
      </c>
      <c r="E94" s="133" t="s">
        <v>225</v>
      </c>
      <c r="H94" s="24"/>
    </row>
    <row r="95" spans="1:8" ht="15" customHeight="1" x14ac:dyDescent="0.4">
      <c r="B95" s="1" t="s">
        <v>140</v>
      </c>
      <c r="C95" s="95">
        <f>D95*Common_Shares/Data!C4</f>
        <v>11356006.508615326</v>
      </c>
      <c r="D95" s="132">
        <f>PV(C92,D92,0,-F92)*Exchange_Rate</f>
        <v>19.342283549121895</v>
      </c>
      <c r="E95" s="132">
        <f>PV(15%,D92,0,-F92)*Exchange_Rate</f>
        <v>14.393451700887374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1214247.2000000002</v>
      </c>
      <c r="D97" s="162">
        <f>C97*Data!$C$4/Common_Shares</f>
        <v>2.0681842356561919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12570253.708615325</v>
      </c>
      <c r="D98" s="114">
        <f>MAX(C98*Data!$C$4/Common_Shares,0)</f>
        <v>21.410467784778088</v>
      </c>
      <c r="E98" s="114">
        <f>E95*Exchange_Rate-D96+D97</f>
        <v>16.461635936543566</v>
      </c>
      <c r="F98" s="114">
        <f>D98*1.25</f>
        <v>26.763084730972611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12476041.812499998</v>
      </c>
      <c r="D101" s="132">
        <f>E87/(C92-D100)*Exchange_Rate</f>
        <v>21.249999999999996</v>
      </c>
      <c r="E101" s="114">
        <f>D101*(1-25%)</f>
        <v>15.937499999999996</v>
      </c>
      <c r="F101" s="114">
        <f>D101*1.25</f>
        <v>26.562499999999996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226</v>
      </c>
      <c r="C103" s="137" t="str">
        <f>C100</f>
        <v>HKD</v>
      </c>
      <c r="D103" s="137" t="s">
        <v>236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227</v>
      </c>
      <c r="C104" s="95">
        <f>D104*Common_Shares/Data!C4</f>
        <v>12523147.760557663</v>
      </c>
      <c r="D104" s="132">
        <f>(D98+D101)/2</f>
        <v>21.330233892389042</v>
      </c>
      <c r="E104" s="114">
        <f>D104*(1-25%)</f>
        <v>15.997675419291781</v>
      </c>
      <c r="F104" s="114">
        <f>D104*1.25</f>
        <v>26.662792365486304</v>
      </c>
    </row>
    <row r="106" spans="2:8" ht="15" customHeight="1" x14ac:dyDescent="0.4">
      <c r="B106" s="10" t="s">
        <v>180</v>
      </c>
      <c r="C106" s="138" t="s">
        <v>237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