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CE59040-5706-43E2-B636-A40DA53CAAF5}" xr6:coauthVersionLast="47" xr6:coauthVersionMax="47" xr10:uidLastSave="{00000000-0000-0000-0000-000000000000}"/>
  <bookViews>
    <workbookView xWindow="1470" yWindow="1470" windowWidth="12690" windowHeight="7643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D101" i="3" s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E82" i="3" l="1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<sst xmlns="http://schemas.openxmlformats.org/spreadsheetml/2006/main" count="252" uniqueCount="229">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</sst>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86" fontId="2" fillId="0" borderId="0" xfId="0" applyNumberFormat="1" applyFont="1" applyAlignment="1">
      <alignment horizontal="left"/>
    </xf>
    <xf numFmtId="8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2" t="s">
        <v>219</v>
      </c>
      <c r="D3" s="203"/>
      <c r="E3" s="94"/>
      <c r="F3" s="3" t="s">
        <v>1</v>
      </c>
      <c r="G3" s="170">
        <v>4.5399999618530273</v>
      </c>
      <c r="H3" s="172" t="s">
        <v>2</v>
      </c>
    </row>
    <row r="4" spans="1:10" ht="15.75" customHeight="1" x14ac:dyDescent="0.4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4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4738.3592793863299</v>
      </c>
      <c r="H5" s="200"/>
      <c r="I5" s="38"/>
      <c r="J5" s="28"/>
    </row>
    <row r="6" spans="1:10" ht="15.75" customHeight="1" x14ac:dyDescent="0.4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9" t="s">
        <v>212</v>
      </c>
      <c r="F9" s="185" t="s">
        <v>206</v>
      </c>
    </row>
    <row r="10" spans="1:10" ht="15.75" customHeight="1" x14ac:dyDescent="0.4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2">
        <v>0.08</v>
      </c>
      <c r="D12" s="169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9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3">
        <v>8.8000000000000009E-2</v>
      </c>
      <c r="D17" s="188"/>
    </row>
    <row r="18" spans="1:8" ht="15.75" customHeight="1" x14ac:dyDescent="0.4"/>
    <row r="19" spans="1:8" ht="15.75" customHeight="1" x14ac:dyDescent="0.4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4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4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4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1.2924710891901992</v>
      </c>
    </row>
    <row r="24" spans="1:8" ht="15.75" customHeight="1" x14ac:dyDescent="0.4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7.2589244559890326E-2</v>
      </c>
    </row>
    <row r="25" spans="1:8" ht="15.75" customHeight="1" x14ac:dyDescent="0.4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4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3.4845815270762637E-2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7">
        <f>IF(Fin_Analysis!C106="Profit",Fin_Analysis!E98,IF(Fin_Analysis!C106="Dividend",Fin_Analysis!E101,Fin_Analysis!E104))</f>
        <v>2.7954576337037467</v>
      </c>
      <c r="D29" s="166">
        <f>IF(Fin_Analysis!C106="Profit",Fin_Analysis!F98,IF(Fin_Analysis!C106="Dividend",Fin_Analysis!F101,Fin_Analysis!F104))</f>
        <v>4.6590960561729116</v>
      </c>
      <c r="E29" s="94"/>
      <c r="F29" s="168">
        <f>IF(Fin_Analysis!C106="Profit",Fin_Analysis!D98,IF(Fin_Analysis!C106="Dividend",Fin_Analysis!D101,Fin_Analysis!D104))</f>
        <v>3.7272768449383289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1260827.4162087673</v>
      </c>
      <c r="E6" s="56">
        <f>1-D6/D3</f>
        <v>0.65608707828519508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1.2080460944346958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1.2924710891901992</v>
      </c>
      <c r="E53" s="95">
        <f>MAX(C53,C53*Dashboard!G23)</f>
        <v>58953.483791232553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8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4">
        <f>Data!C5</f>
        <v>45291</v>
      </c>
      <c r="D72" s="214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3" t="s">
        <v>103</v>
      </c>
      <c r="D73" s="213"/>
      <c r="E73" s="215" t="s">
        <v>104</v>
      </c>
      <c r="F73" s="213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4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4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4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1" t="s">
        <v>170</v>
      </c>
      <c r="E90" s="211"/>
      <c r="G90" s="94"/>
    </row>
    <row r="91" spans="1:8" ht="15" customHeight="1" x14ac:dyDescent="0.4">
      <c r="B91" s="1" t="s">
        <v>192</v>
      </c>
      <c r="C91" s="173" t="s">
        <v>210</v>
      </c>
      <c r="D91" s="212" t="s">
        <v>222</v>
      </c>
      <c r="E91" s="212"/>
      <c r="F91" s="29">
        <f>E86*Exchange_Rate/Dashboard!G3</f>
        <v>7.2589244559890326E-2</v>
      </c>
      <c r="H91" s="186"/>
    </row>
    <row r="92" spans="1:8" ht="15" customHeight="1" x14ac:dyDescent="0.4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8.4000000000000005E-2</v>
      </c>
      <c r="D92" s="196">
        <v>5</v>
      </c>
      <c r="E92" s="94" t="s">
        <v>223</v>
      </c>
      <c r="F92" s="197">
        <f>FV(F91,D92,0,-(E86/C92))</f>
        <v>5.5694976950480299</v>
      </c>
      <c r="H92" s="186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4">
      <c r="B95" s="1" t="s">
        <v>140</v>
      </c>
      <c r="C95" s="102">
        <f>D95*Common_Shares/Data!E3</f>
        <v>3883664.9514018293</v>
      </c>
      <c r="D95" s="154">
        <f>PV(C92,D92,0,-F92)*Exchange_Rate</f>
        <v>3.7210852304761839</v>
      </c>
      <c r="E95" s="154">
        <f>PV(15%,D92,0,-F92)*Exchange_Rate</f>
        <v>2.7690246812753299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4">
      <c r="B98" s="1" t="s">
        <v>119</v>
      </c>
      <c r="C98" s="102">
        <f>C95-C96+$C$97</f>
        <v>5200379.2962018289</v>
      </c>
      <c r="D98" s="124">
        <f>MAX(C98*Data!$E$3/Common_Shares,0)</f>
        <v>4.9826786898766571</v>
      </c>
      <c r="E98" s="124">
        <f>D98*(1-25%)</f>
        <v>3.7370090174074928</v>
      </c>
      <c r="F98" s="124">
        <f>D98*1.25</f>
        <v>6.2283483623458213</v>
      </c>
    </row>
    <row r="100" spans="2:6" ht="15" customHeight="1" x14ac:dyDescent="0.4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4">
      <c r="B101" s="1" t="s">
        <v>176</v>
      </c>
      <c r="C101" s="102">
        <f>D101*Common_Shares/Data!E3</f>
        <v>2579874.8771250006</v>
      </c>
      <c r="D101" s="154">
        <f>E87/(C92-2%)*Exchange_Rate</f>
        <v>2.4718750000000003</v>
      </c>
      <c r="E101" s="124">
        <f>D101*(1-25%)</f>
        <v>1.8539062500000001</v>
      </c>
      <c r="F101" s="124">
        <f>D101*1.25</f>
        <v>3.0898437500000004</v>
      </c>
    </row>
    <row r="103" spans="2:6" ht="15" customHeight="1" x14ac:dyDescent="0.4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4">
      <c r="B104" s="1" t="s">
        <v>227</v>
      </c>
      <c r="C104" s="102">
        <f>D104*Common_Shares/Data!E3</f>
        <v>3890127.0866634147</v>
      </c>
      <c r="D104" s="154">
        <f>(D98+D101)/2</f>
        <v>3.7272768449383289</v>
      </c>
      <c r="E104" s="124">
        <f>D104*(1-25%)</f>
        <v>2.7954576337037467</v>
      </c>
      <c r="F104" s="124">
        <f>D104*1.25</f>
        <v>4.6590960561729116</v>
      </c>
    </row>
    <row r="106" spans="2:6" ht="15" customHeight="1" x14ac:dyDescent="0.4">
      <c r="B106" s="10" t="s">
        <v>180</v>
      </c>
      <c r="C106" s="165" t="s">
        <v>228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2024-11-08T07:36:17Z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