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2D3F6D1-72CF-4254-B641-A55B2B563603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0" i="3" l="1"/>
  <c r="E87" i="3"/>
  <c r="C92" i="3" l="1"/>
  <c r="B92" i="3"/>
  <c r="G21" i="1" l="1"/>
  <c r="D101" i="3" l="1"/>
  <c r="G26" i="1"/>
  <c r="D45" i="2"/>
  <c r="C82" i="3"/>
  <c r="E82" i="3" s="1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<sst xmlns="http://schemas.openxmlformats.org/spreadsheetml/2006/main" count="250" uniqueCount="230">
  <si>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</si>
  <si>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</si>
  <si>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</si>
  <si>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</si>
  <si>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</si>
  <si>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</si>
  <si>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</si>
  <si>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</si>
  <si>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</si>
  <si>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</si>
  <si>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</si>
  <si>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</si>
  <si>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</si>
  <si>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</si>
  <si>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</si>
  <si>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</si>
  <si>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</si>
  <si>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</si>
  <si>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</si>
  <si>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</si>
  <si>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</si>
  <si>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</si>
  <si>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</si>
  <si>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</si>
  <si>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</si>
  <si>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</si>
  <si>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</si>
  <si>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</si>
  <si>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</si>
  <si>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</si>
  <si>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</si>
  <si>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</si>
  <si>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</si>
  <si>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</si>
  <si>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</si>
  <si>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</si>
  <si>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</si>
  <si>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</si>
  <si>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</si>
  <si>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</si>
  <si>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</si>
  <si>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</si>
  <si>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</si>
  <si>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</si>
  <si>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</si>
  <si>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</si>
  <si>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</si>
  <si>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</si>
  <si>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</si>
  <si>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</si>
  <si>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</si>
  <si>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</si>
  <si>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</si>
  <si>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</si>
  <si>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</si>
  <si>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</si>
  <si>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</si>
  <si>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</si>
  <si>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</si>
  <si>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</si>
  <si>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</si>
  <si>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</si>
  <si>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</si>
  <si>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</si>
  <si>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</si>
  <si>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</si>
  <si>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</si>
  <si>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</si>
  <si>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</si>
  <si>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</si>
  <si>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</si>
  <si>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</si>
  <si>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</si>
  <si>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</si>
  <si>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</si>
  <si>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</si>
  <si>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</si>
  <si>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</si>
  <si>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</si>
  <si>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</si>
  <si>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</si>
  <si>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</si>
  <si>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</si>
  <si>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</si>
  <si>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</si>
  <si>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</si>
  <si>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</si>
  <si>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</si>
  <si>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</si>
  <si>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</si>
  <si>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</si>
  <si>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</si>
  <si>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</si>
  <si>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</si>
  <si>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</si>
  <si>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</si>
  <si>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</si>
  <si>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</si>
  <si>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</si>
  <si>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</si>
  <si>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</si>
  <si>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</si>
  <si>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</si>
  <si>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</si>
  <si>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</si>
  <si>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</si>
  <si>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</si>
  <si>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</si>
  <si>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</si>
  <si>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</si>
  <si>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</si>
  <si>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</si>
  <si>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</si>
  <si>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</si>
  <si>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</si>
  <si>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</si>
  <si>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</si>
  <si>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</si>
  <si>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</si>
  <si>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</si>
  <si>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</si>
  <si>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</si>
  <si>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</si>
  <si>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</si>
  <si>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</si>
  <si>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</si>
  <si>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</si>
  <si>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</si>
  <si>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</si>
  <si>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</si>
  <si>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</si>
  <si>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</si>
  <si>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</si>
  <si>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</si>
  <si>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</si>
  <si>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</si>
  <si>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</si>
  <si>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</si>
  <si>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</si>
  <si>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</si>
  <si>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</si>
  <si>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</si>
  <si>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</si>
  <si>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</si>
  <si>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</si>
  <si>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</si>
  <si>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</si>
  <si>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</si>
  <si>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</si>
  <si>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</si>
  <si>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</si>
  <si>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</si>
  <si>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</si>
  <si>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</si>
  <si>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</si>
  <si>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</si>
  <si>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</si>
  <si>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</si>
  <si>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</si>
  <si>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</si>
  <si>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</si>
  <si>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</si>
  <si>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</si>
  <si>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</si>
  <si>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</si>
  <si>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</si>
  <si>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</si>
  <si>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</si>
  <si>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</si>
  <si>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</si>
  <si>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</si>
  <si>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</si>
  <si>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</si>
  <si>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</si>
  <si>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</si>
  <si>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</si>
  <si>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</si>
  <si>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</si>
  <si>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</si>
  <si>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</si>
  <si>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</si>
  <si>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</si>
  <si>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</si>
  <si>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</si>
  <si>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</si>
  <si>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</si>
  <si>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</si>
  <si>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</si>
  <si>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</si>
  <si>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</si>
  <si>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</si>
  <si>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</si>
  <si>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</si>
  <si>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</si>
  <si>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</si>
  <si>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</si>
  <si>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</si>
  <si>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</si>
  <si>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</si>
  <si>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</si>
  <si>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</si>
  <si>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</si>
  <si>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</si>
  <si>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</si>
  <si>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</si>
  <si>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</si>
  <si>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</si>
  <si>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</si>
  <si>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</si>
  <si>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</si>
  <si>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</si>
  <si>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</si>
  <si>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</si>
  <si>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</si>
  <si>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</si>
  <si>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</si>
  <si>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</si>
  <si>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</si>
  <si>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</si>
  <si>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</si>
  <si>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</si>
  <si>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</si>
  <si>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</si>
  <si>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</si>
  <si>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</si>
  <si>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中国中车</t>
    <phoneticPr fontId="20" type="noConversion"/>
  </si>
  <si>
    <t>1766.HK</t>
    <phoneticPr fontId="20" type="noConversion"/>
  </si>
  <si>
    <t>CNY</t>
  </si>
  <si>
    <t>C0004</t>
    <phoneticPr fontId="20" type="noConversion"/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</si>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</sst>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8" sqref="C1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94"/>
      <c r="E2" s="7"/>
      <c r="F2" s="7"/>
      <c r="G2" s="93"/>
      <c r="H2" s="93"/>
    </row>
    <row r="3" spans="1:10" ht="15.75" customHeight="1" x14ac:dyDescent="0.4">
      <c r="B3" s="3" t="s">
        <v>222</v>
      </c>
      <c r="C3" s="199" t="s">
        <v>226</v>
      </c>
      <c r="D3" s="200"/>
      <c r="E3" s="94"/>
      <c r="F3" s="3" t="s">
        <v>1</v>
      </c>
      <c r="G3" s="171">
        <v>5.1700000762939453</v>
      </c>
      <c r="H3" s="173" t="s">
        <v>2</v>
      </c>
    </row>
    <row r="4" spans="1:10" ht="15.75" customHeight="1" x14ac:dyDescent="0.5">
      <c r="B4" s="35" t="s">
        <v>223</v>
      </c>
      <c r="C4" s="201" t="s">
        <v>225</v>
      </c>
      <c r="D4" s="202"/>
      <c r="E4" s="94"/>
      <c r="F4" s="3" t="s">
        <v>3</v>
      </c>
      <c r="G4" s="205">
        <v>28698864088</v>
      </c>
      <c r="H4" s="205"/>
      <c r="I4" s="39"/>
    </row>
    <row r="5" spans="1:10" ht="15.75" customHeight="1" x14ac:dyDescent="0.4">
      <c r="B5" s="3" t="s">
        <v>180</v>
      </c>
      <c r="C5" s="203">
        <v>45593</v>
      </c>
      <c r="D5" s="204"/>
      <c r="E5" s="34"/>
      <c r="F5" s="35" t="s">
        <v>102</v>
      </c>
      <c r="G5" s="197">
        <f>G3*G4/1000000</f>
        <v>148373.12952450957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227</v>
      </c>
      <c r="H6" s="198"/>
      <c r="I6" s="38"/>
    </row>
    <row r="7" spans="1:10" ht="15.75" customHeight="1" x14ac:dyDescent="0.4">
      <c r="B7" s="93" t="s">
        <v>220</v>
      </c>
      <c r="C7" s="190" t="s">
        <v>71</v>
      </c>
      <c r="D7" s="196" t="s">
        <v>228</v>
      </c>
      <c r="E7" s="94"/>
      <c r="F7" s="35" t="s">
        <v>6</v>
      </c>
      <c r="G7" s="172">
        <v>1.0876400073369343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80" t="s">
        <v>218</v>
      </c>
      <c r="F9" s="186" t="s">
        <v>211</v>
      </c>
    </row>
    <row r="10" spans="1:10" ht="15.75" customHeight="1" x14ac:dyDescent="0.4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45">
      <c r="B11" s="147" t="s">
        <v>203</v>
      </c>
      <c r="C11" s="184">
        <v>5.3099999999999994E-2</v>
      </c>
      <c r="D11" s="177" t="s">
        <v>216</v>
      </c>
      <c r="F11" s="125" t="s">
        <v>201</v>
      </c>
    </row>
    <row r="12" spans="1:10" ht="15.75" customHeight="1" thickTop="1" x14ac:dyDescent="0.4">
      <c r="B12" s="94" t="s">
        <v>142</v>
      </c>
      <c r="C12" s="193">
        <v>0.08</v>
      </c>
      <c r="D12" s="170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200</v>
      </c>
      <c r="C14" s="170">
        <v>2.1309999999999999E-2</v>
      </c>
      <c r="F14" s="125" t="s">
        <v>206</v>
      </c>
    </row>
    <row r="15" spans="1:10" ht="15.75" customHeight="1" x14ac:dyDescent="0.4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45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4">
      <c r="B17" s="94" t="s">
        <v>205</v>
      </c>
      <c r="C17" s="194">
        <v>8.8000000000000009E-2</v>
      </c>
      <c r="D17" s="189"/>
    </row>
    <row r="18" spans="1:8" ht="15.75" customHeight="1" x14ac:dyDescent="0.4"/>
    <row r="19" spans="1:8" ht="15.75" customHeight="1" x14ac:dyDescent="0.4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4">
      <c r="B20" s="177" t="s">
        <v>187</v>
      </c>
      <c r="C20" s="178">
        <f>Fin_Analysis!F75</f>
        <v>0.78463553343209413</v>
      </c>
      <c r="F20" s="181" t="s">
        <v>195</v>
      </c>
      <c r="G20" s="178">
        <f>Fin_Analysis!F91</f>
        <v>3.2519270021073965E-2</v>
      </c>
    </row>
    <row r="21" spans="1:8" ht="15.75" customHeight="1" x14ac:dyDescent="0.4">
      <c r="B21" s="177" t="s">
        <v>188</v>
      </c>
      <c r="C21" s="178">
        <f>Fin_Analysis!F77</f>
        <v>0.15995376005296372</v>
      </c>
      <c r="F21" s="181" t="s">
        <v>194</v>
      </c>
      <c r="G21" s="178">
        <f>Fin_Analysis!F92</f>
        <v>0.02</v>
      </c>
    </row>
    <row r="22" spans="1:8" ht="15.75" customHeight="1" x14ac:dyDescent="0.4">
      <c r="B22" s="177" t="s">
        <v>189</v>
      </c>
      <c r="C22" s="178">
        <f>Fin_Analysis!F79</f>
        <v>0</v>
      </c>
      <c r="F22" s="185" t="s">
        <v>210</v>
      </c>
    </row>
    <row r="23" spans="1:8" ht="15.75" customHeight="1" x14ac:dyDescent="0.4">
      <c r="B23" s="177" t="s">
        <v>190</v>
      </c>
      <c r="C23" s="178">
        <f>Fin_Analysis!F80</f>
        <v>1.7206411836009534E-4</v>
      </c>
      <c r="F23" s="181" t="s">
        <v>214</v>
      </c>
      <c r="G23" s="188">
        <f>G3/(Data!C34*Data!E3/Common_Shares*Exchange_Rate)</f>
        <v>0.68240614072744987</v>
      </c>
    </row>
    <row r="24" spans="1:8" ht="15.75" customHeight="1" x14ac:dyDescent="0.4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7.1131393159093712E-2</v>
      </c>
    </row>
    <row r="25" spans="1:8" ht="15.75" customHeight="1" x14ac:dyDescent="0.4">
      <c r="B25" s="177" t="s">
        <v>219</v>
      </c>
      <c r="C25" s="178">
        <f>Fin_Analysis!F82</f>
        <v>9.386945223960261E-6</v>
      </c>
      <c r="F25" s="181" t="s">
        <v>197</v>
      </c>
      <c r="G25" s="178">
        <f>Fin_Analysis!F87</f>
        <v>0.59151165399948402</v>
      </c>
    </row>
    <row r="26" spans="1:8" ht="15.75" customHeight="1" x14ac:dyDescent="0.4">
      <c r="B26" s="179" t="s">
        <v>193</v>
      </c>
      <c r="C26" s="178">
        <f>Fin_Analysis!F83</f>
        <v>5.5229255451358046E-2</v>
      </c>
      <c r="F26" s="183" t="s">
        <v>221</v>
      </c>
      <c r="G26" s="182">
        <f>Fin_Analysis!E87*Exchange_Rate/G3</f>
        <v>4.2075048018823107E-2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4">
      <c r="B29" s="94" t="s">
        <v>186</v>
      </c>
      <c r="C29" s="168">
        <f>IF(Fin_Analysis!C103="Profit",Fin_Analysis!E98,Fin_Analysis!E101)</f>
        <v>2.1516619947230642</v>
      </c>
      <c r="D29" s="167">
        <f>IF(Fin_Analysis!C103="Profit",Fin_Analysis!F98,Fin_Analysis!F101)</f>
        <v>3.5861033245384406</v>
      </c>
      <c r="E29" s="94"/>
      <c r="F29" s="169">
        <f>IF(Fin_Analysis!C103="Profit",Fin_Analysis!D98,Fin_Analysis!D101)</f>
        <v>2.8688826596307524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D15" sqref="D1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234261514</v>
      </c>
      <c r="D6" s="58">
        <v>222938637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5.078920887095939E-2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183809908</v>
      </c>
      <c r="D8" s="92">
        <v>177260463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50451606</v>
      </c>
      <c r="D9" s="101">
        <f t="shared" si="2"/>
        <v>45678174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37506984</v>
      </c>
      <c r="D10" s="92">
        <v>599182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1.5356342314085786E-4</v>
      </c>
      <c r="D11" s="97">
        <f t="shared" si="3"/>
        <v>1.4401272220929565E-4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35974</v>
      </c>
      <c r="D12" s="92">
        <v>32106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12980596</v>
      </c>
      <c r="D13" s="101">
        <f t="shared" ref="D13:M13" si="4">IF(D6="","",(D9-D10+D12))</f>
        <v>45111098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>
        <v>0</v>
      </c>
      <c r="D14" s="92">
        <v>0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15312</v>
      </c>
      <c r="D15" s="92">
        <v>11600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-169280</v>
      </c>
      <c r="D16" s="92">
        <v>-50846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0</v>
      </c>
      <c r="D17" s="92">
        <v>0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2199</v>
      </c>
      <c r="D18" s="92">
        <v>645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12962352</v>
      </c>
      <c r="D19" s="95">
        <f>IF(D6="","",D13-D14-MAX(D15,0)-MAX(D16,0)-D17-MAX(D18/(1-Fin_Analysis!$F$84),0))</f>
        <v>45098638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-0.71257775013072455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4.149962080412406E-2</v>
      </c>
      <c r="D21" s="56">
        <f t="shared" si="6"/>
        <v>0.15171878215080323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9721764</v>
      </c>
      <c r="D22" s="95">
        <f>IF(D6="","",D19*(1-Fin_Analysis!$F$84))</f>
        <v>33823978.5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-0.71257775013072455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479499893</v>
      </c>
      <c r="D25" s="41">
        <f t="shared" si="17"/>
        <v>3578159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319587946</v>
      </c>
      <c r="D26" s="92">
        <v>3160304</v>
      </c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121633388</v>
      </c>
      <c r="D27" s="92">
        <v>131280367</v>
      </c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86201047</v>
      </c>
      <c r="D28" s="92">
        <v>66848740</v>
      </c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255569971</v>
      </c>
      <c r="D29" s="92">
        <v>734909</v>
      </c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24023311</v>
      </c>
      <c r="D30" s="92">
        <v>18682</v>
      </c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12993125</v>
      </c>
      <c r="D31" s="92">
        <v>6202</v>
      </c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8009951</v>
      </c>
      <c r="D32" s="92">
        <v>10412</v>
      </c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21003076</v>
      </c>
      <c r="D33" s="95">
        <f t="shared" si="18"/>
        <v>16614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199906611</v>
      </c>
      <c r="D34" s="92">
        <v>2824568</v>
      </c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39516717</v>
      </c>
      <c r="D35" s="92">
        <v>7297</v>
      </c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81640747</v>
      </c>
      <c r="D36" s="92">
        <v>2868641</v>
      </c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397859146</v>
      </c>
      <c r="D37" s="41">
        <f t="shared" ref="D37:M37" si="19">IF(D6="","",D25-D36)</f>
        <v>709518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173</v>
      </c>
      <c r="C38" s="104">
        <f>IF(C6="","",C19/C37)</f>
        <v>3.2580253917299663E-2</v>
      </c>
      <c r="D38" s="104">
        <f t="shared" ref="D38:M38" si="20">IF(D6="","",D19/D37)</f>
        <v>63.562359235424616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0.78463553343209413</v>
      </c>
      <c r="D40" s="61">
        <f t="shared" si="21"/>
        <v>0.79510875900797762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0.15995376005296372</v>
      </c>
      <c r="D41" s="56">
        <f t="shared" si="22"/>
        <v>2.5436416389322414E-3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6.5362849144738304E-5</v>
      </c>
      <c r="D42" s="56">
        <f t="shared" si="23"/>
        <v>5.2032254956326836E-5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0</v>
      </c>
      <c r="D44" s="56">
        <f t="shared" si="25"/>
        <v>0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1.2515926965280349E-5</v>
      </c>
      <c r="D45" s="56">
        <f>IF(D6="","",MAX(D18,0)/(1-Fin_Analysis!$F$84)/D6)</f>
        <v>3.8575637295207831E-6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5.533282773883208E-2</v>
      </c>
      <c r="D46" s="56">
        <f t="shared" si="26"/>
        <v>0.20229170953440431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0.51922053231500931</v>
      </c>
      <c r="D48" s="61">
        <f t="shared" si="27"/>
        <v>0.58886323504346172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0.36796930715644566</v>
      </c>
      <c r="D49" s="56">
        <f t="shared" si="28"/>
        <v>0.29985264510251758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0.58309352323463393</v>
      </c>
      <c r="D51" s="61">
        <f t="shared" ref="D51:M51" si="29">IF(D34="","",(D25-D34)/D25)</f>
        <v>0.21060858391144721</v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0.61716445724426272</v>
      </c>
      <c r="D52" s="60">
        <f t="shared" si="30"/>
        <v>2714.4960876369328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 t="str">
        <f t="shared" ref="C53:M53" si="31">IF(C19="","",IF(C17&lt;=0,"-",C17/C19))</f>
        <v>-</v>
      </c>
      <c r="D53" s="56" t="str">
        <f t="shared" si="31"/>
        <v>-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1.250490989804119</v>
      </c>
      <c r="D54" s="62">
        <f t="shared" si="32"/>
        <v>4.3002657471877468</v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25" zoomScaleNormal="100" workbookViewId="0">
      <selection activeCell="D63" sqref="D63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199906611</v>
      </c>
      <c r="E3" s="73" t="str">
        <f>IF((C49-I49)=D3,"", "Error!")</f>
        <v/>
      </c>
      <c r="F3" s="94"/>
      <c r="G3" s="94"/>
      <c r="H3" s="47" t="s">
        <v>24</v>
      </c>
      <c r="I3" s="59">
        <v>160389894</v>
      </c>
      <c r="K3" s="24"/>
    </row>
    <row r="4" spans="1:11" ht="15" customHeight="1" x14ac:dyDescent="0.4">
      <c r="B4" s="3" t="s">
        <v>25</v>
      </c>
      <c r="C4" s="94"/>
      <c r="D4" s="69">
        <f>D3-I3</f>
        <v>39516717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1.250490989804119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-106514649.64999998</v>
      </c>
      <c r="E6" s="56">
        <f>1-D6/D3</f>
        <v>1.5328220468406619</v>
      </c>
      <c r="F6" s="94"/>
      <c r="G6" s="94"/>
      <c r="H6" s="1" t="s">
        <v>30</v>
      </c>
      <c r="I6" s="67">
        <f>(C24+C25)/I28</f>
        <v>0.86738590270450822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0</v>
      </c>
      <c r="E7" s="11" t="str">
        <f>Dashboard!H3</f>
        <v>HKD</v>
      </c>
      <c r="H7" s="1" t="s">
        <v>31</v>
      </c>
      <c r="I7" s="67">
        <f>C24/I28</f>
        <v>0.69313380717956097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224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47742240</v>
      </c>
      <c r="D11" s="64">
        <v>1</v>
      </c>
      <c r="E11" s="95">
        <f t="shared" ref="E11:E21" si="0">C11*D11</f>
        <v>47742240</v>
      </c>
      <c r="F11" s="127"/>
      <c r="G11" s="94"/>
      <c r="H11" s="3" t="s">
        <v>39</v>
      </c>
      <c r="I11" s="63">
        <v>12970041</v>
      </c>
      <c r="J11" s="94"/>
      <c r="K11" s="24"/>
    </row>
    <row r="12" spans="1:11" ht="13.9" x14ac:dyDescent="0.4">
      <c r="B12" s="1" t="s">
        <v>148</v>
      </c>
      <c r="C12" s="63">
        <v>0</v>
      </c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13416</v>
      </c>
      <c r="J12" s="94"/>
      <c r="K12" s="24"/>
    </row>
    <row r="13" spans="1:11" ht="13.9" x14ac:dyDescent="0.4">
      <c r="B13" s="3" t="s">
        <v>121</v>
      </c>
      <c r="C13" s="63">
        <v>121633388</v>
      </c>
      <c r="D13" s="64">
        <v>0.8</v>
      </c>
      <c r="E13" s="95">
        <f t="shared" si="0"/>
        <v>97306710.400000006</v>
      </c>
      <c r="F13" s="127"/>
      <c r="G13" s="94"/>
      <c r="H13" s="3" t="s">
        <v>41</v>
      </c>
      <c r="I13" s="63">
        <v>0</v>
      </c>
      <c r="J13" s="94"/>
      <c r="K13" s="26"/>
    </row>
    <row r="14" spans="1:11" ht="13.9" x14ac:dyDescent="0.4">
      <c r="B14" s="3" t="s">
        <v>42</v>
      </c>
      <c r="C14" s="63">
        <v>7768559</v>
      </c>
      <c r="D14" s="64">
        <v>0.3</v>
      </c>
      <c r="E14" s="95">
        <f>C14*D14</f>
        <v>2330567.6999999997</v>
      </c>
      <c r="F14" s="127"/>
      <c r="G14" s="94"/>
      <c r="H14" s="93" t="s">
        <v>43</v>
      </c>
      <c r="I14" s="145">
        <v>9668</v>
      </c>
      <c r="J14" s="94"/>
      <c r="K14" s="27"/>
    </row>
    <row r="15" spans="1:11" ht="13.9" x14ac:dyDescent="0.4">
      <c r="B15" s="3" t="s">
        <v>44</v>
      </c>
      <c r="C15" s="63">
        <v>0</v>
      </c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12993125</v>
      </c>
      <c r="J15" s="94"/>
    </row>
    <row r="16" spans="1:11" ht="13.9" x14ac:dyDescent="0.4">
      <c r="B16" s="1" t="s">
        <v>174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44533603</v>
      </c>
      <c r="D17" s="64">
        <v>0.1</v>
      </c>
      <c r="E17" s="95">
        <f t="shared" si="0"/>
        <v>4453360.3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86201047</v>
      </c>
      <c r="D18" s="64">
        <v>0.5</v>
      </c>
      <c r="E18" s="95">
        <f t="shared" si="0"/>
        <v>43100523.5</v>
      </c>
      <c r="F18" s="127"/>
      <c r="G18" s="94"/>
      <c r="H18" s="94"/>
      <c r="I18" s="94"/>
    </row>
    <row r="19" spans="2:10" ht="13.9" x14ac:dyDescent="0.4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>
        <v>0</v>
      </c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0</v>
      </c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>
        <v>11709109</v>
      </c>
      <c r="D22" s="64">
        <v>0.2</v>
      </c>
      <c r="E22" s="95">
        <f t="shared" ref="E22" si="1">C22*D22</f>
        <v>2341821.8000000003</v>
      </c>
      <c r="F22" s="127"/>
      <c r="G22" s="94"/>
      <c r="H22" s="3" t="s">
        <v>45</v>
      </c>
      <c r="I22" s="52">
        <f>I28-SUM(I11:I14)</f>
        <v>242576846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177144187</v>
      </c>
      <c r="D24" s="66">
        <f>IF(E24=0,0,E24/C24)</f>
        <v>0.83197490471420321</v>
      </c>
      <c r="E24" s="95">
        <f>SUM(E11:E14)</f>
        <v>147379518.09999999</v>
      </c>
      <c r="F24" s="129">
        <f>E24/$E$28</f>
        <v>0.74707566077391796</v>
      </c>
      <c r="G24" s="94"/>
    </row>
    <row r="25" spans="2:10" ht="15" customHeight="1" x14ac:dyDescent="0.4">
      <c r="B25" s="23" t="s">
        <v>55</v>
      </c>
      <c r="C25" s="65">
        <f>SUM(C15:C17)</f>
        <v>44533603</v>
      </c>
      <c r="D25" s="66">
        <f>IF(E25=0,0,E25/C25)</f>
        <v>9.9999999999999992E-2</v>
      </c>
      <c r="E25" s="95">
        <f>SUM(E15:E17)</f>
        <v>4453360.3</v>
      </c>
      <c r="F25" s="129">
        <f t="shared" ref="F25:F27" si="2">E25/$E$28</f>
        <v>2.2574351793777737E-2</v>
      </c>
      <c r="G25" s="94"/>
      <c r="H25" s="23" t="s">
        <v>56</v>
      </c>
      <c r="I25" s="67">
        <f>E28/I28</f>
        <v>0.77190298581674921</v>
      </c>
    </row>
    <row r="26" spans="2:10" ht="15" customHeight="1" x14ac:dyDescent="0.4">
      <c r="B26" s="23" t="s">
        <v>57</v>
      </c>
      <c r="C26" s="65">
        <f>C18+C19+C20</f>
        <v>86201047</v>
      </c>
      <c r="D26" s="66">
        <f t="shared" ref="D26:D27" si="3">IF(E26=0,0,E26/C26)</f>
        <v>0.5</v>
      </c>
      <c r="E26" s="95">
        <f>E18+E19+E20</f>
        <v>43100523.5</v>
      </c>
      <c r="F26" s="129">
        <f t="shared" si="2"/>
        <v>0.21847915157122691</v>
      </c>
      <c r="G26" s="94"/>
      <c r="H26" s="23" t="s">
        <v>58</v>
      </c>
      <c r="I26" s="67">
        <f>E24/($I$28-I22)</f>
        <v>11.342884648612246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11709109</v>
      </c>
      <c r="D27" s="66">
        <f t="shared" si="3"/>
        <v>0.2</v>
      </c>
      <c r="E27" s="95">
        <f>E21+E22</f>
        <v>2341821.8000000003</v>
      </c>
      <c r="F27" s="129">
        <f t="shared" si="2"/>
        <v>1.1870835861077268E-2</v>
      </c>
      <c r="G27" s="94"/>
      <c r="H27" s="23" t="s">
        <v>60</v>
      </c>
      <c r="I27" s="67">
        <f>(E25+E24)/$I$28</f>
        <v>0.59409514273490294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319587946</v>
      </c>
      <c r="D28" s="61">
        <f t="shared" ref="D28" si="4">E28/C28</f>
        <v>0.61727992613338434</v>
      </c>
      <c r="E28" s="76">
        <f>SUM(E24:E27)</f>
        <v>197275223.70000002</v>
      </c>
      <c r="F28" s="127"/>
      <c r="G28" s="94"/>
      <c r="H28" s="85" t="s">
        <v>16</v>
      </c>
      <c r="I28" s="72">
        <v>255569971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>
        <v>0</v>
      </c>
      <c r="D30" s="64">
        <v>0.95</v>
      </c>
      <c r="E30" s="95">
        <v>0</v>
      </c>
      <c r="F30" s="127"/>
      <c r="G30" s="94"/>
      <c r="H30" s="3" t="s">
        <v>62</v>
      </c>
      <c r="I30" s="63">
        <v>6315552</v>
      </c>
      <c r="J30" s="94"/>
    </row>
    <row r="31" spans="2:10" ht="15" customHeight="1" x14ac:dyDescent="0.4">
      <c r="B31" s="3" t="s">
        <v>63</v>
      </c>
      <c r="C31" s="63">
        <v>2881955</v>
      </c>
      <c r="D31" s="64">
        <v>0.5</v>
      </c>
      <c r="E31" s="95">
        <f t="shared" ref="E31:E42" si="5">C31*D31</f>
        <v>1440977.5</v>
      </c>
      <c r="F31" s="127"/>
      <c r="G31" s="94"/>
      <c r="H31" s="3" t="s">
        <v>64</v>
      </c>
      <c r="I31" s="63">
        <v>1694399</v>
      </c>
      <c r="J31" s="94"/>
    </row>
    <row r="32" spans="2:10" ht="15" customHeight="1" x14ac:dyDescent="0.4">
      <c r="B32" s="3" t="s">
        <v>65</v>
      </c>
      <c r="C32" s="63">
        <v>821946</v>
      </c>
      <c r="D32" s="64">
        <v>0.4</v>
      </c>
      <c r="E32" s="95">
        <f t="shared" si="5"/>
        <v>328778.40000000002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175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>
        <v>7301425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8009951</v>
      </c>
      <c r="J34" s="94"/>
    </row>
    <row r="35" spans="2:10" ht="13.9" x14ac:dyDescent="0.4">
      <c r="B35" s="3" t="s">
        <v>70</v>
      </c>
      <c r="C35" s="63">
        <v>21620835</v>
      </c>
      <c r="D35" s="64">
        <v>0.1</v>
      </c>
      <c r="E35" s="95">
        <f t="shared" si="5"/>
        <v>2162083.5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805212</v>
      </c>
      <c r="D36" s="64">
        <v>0.2</v>
      </c>
      <c r="E36" s="95">
        <f t="shared" si="5"/>
        <v>161042.40000000002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>
        <v>6765810</v>
      </c>
      <c r="D37" s="64">
        <v>0.05</v>
      </c>
      <c r="E37" s="95">
        <f>C37*D37</f>
        <v>338290.5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60750263</v>
      </c>
      <c r="D38" s="64">
        <v>0.1</v>
      </c>
      <c r="E38" s="95">
        <f>C38*D38</f>
        <v>6075026.3000000007</v>
      </c>
      <c r="F38" s="127"/>
      <c r="G38" s="94"/>
      <c r="H38" s="94"/>
      <c r="I38" s="94"/>
    </row>
    <row r="39" spans="2:10" ht="13.9" x14ac:dyDescent="0.4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17178235</v>
      </c>
      <c r="D40" s="64">
        <v>0.05</v>
      </c>
      <c r="E40" s="95">
        <f t="shared" si="5"/>
        <v>858911.75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4163174</v>
      </c>
      <c r="D41" s="64">
        <v>0.95</v>
      </c>
      <c r="E41" s="95">
        <f t="shared" si="5"/>
        <v>3955015.3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37623092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16013360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2881955</v>
      </c>
      <c r="D44" s="66">
        <f>IF(E44=0,0,E44/C44)</f>
        <v>0.5</v>
      </c>
      <c r="E44" s="95">
        <f>SUM(E30:E31)</f>
        <v>1440977.5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29744206</v>
      </c>
      <c r="D45" s="66">
        <f>IF(E45=0,0,E45/C45)</f>
        <v>8.3742759850439441E-2</v>
      </c>
      <c r="E45" s="95">
        <f>SUM(E32:E35)</f>
        <v>2490861.9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68321285</v>
      </c>
      <c r="D46" s="66">
        <f t="shared" ref="D46:D47" si="6">IF(E46=0,0,E46/C46)</f>
        <v>9.622710111497465E-2</v>
      </c>
      <c r="E46" s="95">
        <f>E36+E37+E38+E39</f>
        <v>6574359.2000000011</v>
      </c>
      <c r="F46" s="94"/>
      <c r="G46" s="94"/>
      <c r="H46" s="23" t="s">
        <v>81</v>
      </c>
      <c r="I46" s="67">
        <f>(E44+E24)/E64</f>
        <v>7.0856523872979364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58964501</v>
      </c>
      <c r="D47" s="66">
        <f t="shared" si="6"/>
        <v>8.1641105552644297E-2</v>
      </c>
      <c r="E47" s="95">
        <f>E40+E41+E42</f>
        <v>4813927.05</v>
      </c>
      <c r="F47" s="94"/>
      <c r="G47" s="94"/>
      <c r="H47" s="23" t="s">
        <v>83</v>
      </c>
      <c r="I47" s="67">
        <f>(E44+E45+E24+E25)/$I$49</f>
        <v>0.55711180428147777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159911947</v>
      </c>
      <c r="D48" s="89">
        <f>E48/C48</f>
        <v>9.5803508977349905E-2</v>
      </c>
      <c r="E48" s="83">
        <f>SUM(E30:E42)</f>
        <v>15320125.650000002</v>
      </c>
      <c r="F48" s="94"/>
      <c r="G48" s="94"/>
      <c r="H48" s="87" t="s">
        <v>85</v>
      </c>
      <c r="I48" s="90">
        <v>24023311</v>
      </c>
      <c r="J48" s="8"/>
    </row>
    <row r="49" spans="2:10" ht="15" customHeight="1" thickTop="1" x14ac:dyDescent="0.4">
      <c r="B49" s="3" t="s">
        <v>14</v>
      </c>
      <c r="C49" s="65">
        <f>C28+C48</f>
        <v>479499893</v>
      </c>
      <c r="D49" s="56">
        <f>E49/C49</f>
        <v>0.44336891927106231</v>
      </c>
      <c r="E49" s="95">
        <f>E28+E48</f>
        <v>212595349.35000002</v>
      </c>
      <c r="F49" s="94"/>
      <c r="G49" s="94"/>
      <c r="H49" s="3" t="s">
        <v>86</v>
      </c>
      <c r="I49" s="52">
        <f>I28+I48</f>
        <v>279593282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39516717</v>
      </c>
      <c r="D53" s="29">
        <f>IF(E53=0, 0,E53/C53)</f>
        <v>1</v>
      </c>
      <c r="E53" s="95">
        <f>MAX(C53,C53*Dashboard!G23)</f>
        <v>39516717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0">
        <f>I15+I34</f>
        <v>21003076</v>
      </c>
      <c r="E56" s="211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33898507</v>
      </c>
      <c r="D61" s="56">
        <f t="shared" ref="D61:D70" si="7">IF(E61=0,0,E61/C61)</f>
        <v>0.18949063154905318</v>
      </c>
      <c r="E61" s="52">
        <f>E14+E15+(E19*G19)+(E20*G20)+E31+E32+(E35*G35)+(E36*G36)+(E37*G37)</f>
        <v>6423449.5</v>
      </c>
      <c r="F61" s="94"/>
      <c r="G61" s="94"/>
      <c r="H61" s="94"/>
      <c r="I61" s="94"/>
    </row>
    <row r="62" spans="2:10" ht="13.9" x14ac:dyDescent="0.4">
      <c r="B62" s="35" t="s">
        <v>152</v>
      </c>
      <c r="C62" s="142">
        <f>C11+C30</f>
        <v>47742240</v>
      </c>
      <c r="D62" s="122">
        <f t="shared" si="7"/>
        <v>1</v>
      </c>
      <c r="E62" s="143">
        <f>E11+E30</f>
        <v>47742240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81640747</v>
      </c>
      <c r="D63" s="29">
        <f t="shared" si="7"/>
        <v>0.66346391343038547</v>
      </c>
      <c r="E63" s="65">
        <f>E61+E62</f>
        <v>54165689.5</v>
      </c>
      <c r="F63" s="94"/>
      <c r="G63" s="94"/>
      <c r="H63" s="94"/>
      <c r="I63" s="94"/>
    </row>
    <row r="64" spans="2:10" ht="14.25" thickBot="1" x14ac:dyDescent="0.45">
      <c r="B64" s="146" t="s">
        <v>164</v>
      </c>
      <c r="C64" s="147"/>
      <c r="D64" s="148"/>
      <c r="E64" s="75">
        <f>D56+D57+D58</f>
        <v>21003076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60637671</v>
      </c>
      <c r="D65" s="29">
        <f t="shared" si="7"/>
        <v>0.54689787640425702</v>
      </c>
      <c r="E65" s="65">
        <f>E63-E64</f>
        <v>33162613.5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397859146</v>
      </c>
      <c r="D68" s="29">
        <f t="shared" si="7"/>
        <v>0.39820539867644522</v>
      </c>
      <c r="E68" s="74">
        <f>E49-E63</f>
        <v>158429659.85000002</v>
      </c>
      <c r="F68" s="94"/>
      <c r="G68" s="94"/>
      <c r="H68" s="94"/>
      <c r="I68" s="94"/>
    </row>
    <row r="69" spans="1:9" ht="14.25" thickBot="1" x14ac:dyDescent="0.45">
      <c r="B69" s="146" t="s">
        <v>165</v>
      </c>
      <c r="C69" s="147"/>
      <c r="D69" s="148"/>
      <c r="E69" s="160">
        <f>I49-E64</f>
        <v>258590206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139268940</v>
      </c>
      <c r="D70" s="29">
        <f t="shared" si="7"/>
        <v>-0.71918796933472728</v>
      </c>
      <c r="E70" s="74">
        <f>E68-E69</f>
        <v>-100160546.14999998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8">
        <f>Data!C5</f>
        <v>45291</v>
      </c>
      <c r="D72" s="208"/>
      <c r="H72" s="50" t="s">
        <v>8</v>
      </c>
    </row>
    <row r="73" spans="1:9" ht="15" customHeight="1" x14ac:dyDescent="0.4">
      <c r="B73" s="12" t="str">
        <f>"(Numbers in "&amp;Data!E3&amp;Dashboard!G6&amp;")"</f>
        <v>(Numbers in 1000CNY)</v>
      </c>
      <c r="C73" s="207" t="s">
        <v>103</v>
      </c>
      <c r="D73" s="207"/>
      <c r="E73" s="209" t="s">
        <v>104</v>
      </c>
      <c r="F73" s="207"/>
    </row>
    <row r="74" spans="1:9" ht="15" customHeight="1" x14ac:dyDescent="0.4">
      <c r="B74" s="3" t="s">
        <v>136</v>
      </c>
      <c r="C74" s="95">
        <f>Data!C6</f>
        <v>234261514</v>
      </c>
      <c r="D74" s="130"/>
      <c r="E74" s="149">
        <f>C74</f>
        <v>234261514</v>
      </c>
      <c r="F74" s="130"/>
    </row>
    <row r="75" spans="1:9" ht="15" customHeight="1" x14ac:dyDescent="0.4">
      <c r="B75" s="117" t="s">
        <v>109</v>
      </c>
      <c r="C75" s="95">
        <f>Data!C8</f>
        <v>183809908</v>
      </c>
      <c r="D75" s="131">
        <f>C75/$C$74</f>
        <v>0.78463553343209413</v>
      </c>
      <c r="E75" s="149">
        <f>D75*E74</f>
        <v>183809908</v>
      </c>
      <c r="F75" s="150">
        <f>E75/$E$74</f>
        <v>0.78463553343209413</v>
      </c>
    </row>
    <row r="76" spans="1:9" ht="15" customHeight="1" x14ac:dyDescent="0.4">
      <c r="B76" s="35" t="s">
        <v>96</v>
      </c>
      <c r="C76" s="118">
        <f>C74-C75</f>
        <v>50451606</v>
      </c>
      <c r="D76" s="132"/>
      <c r="E76" s="151">
        <f>E74-E75</f>
        <v>50451606</v>
      </c>
      <c r="F76" s="132"/>
    </row>
    <row r="77" spans="1:9" ht="15" customHeight="1" x14ac:dyDescent="0.4">
      <c r="B77" s="117" t="s">
        <v>133</v>
      </c>
      <c r="C77" s="95">
        <f>Data!C10-Data!C12</f>
        <v>37471010</v>
      </c>
      <c r="D77" s="131">
        <f>C77/$C$74</f>
        <v>0.15995376005296372</v>
      </c>
      <c r="E77" s="149">
        <f>D77*E74</f>
        <v>37471010</v>
      </c>
      <c r="F77" s="150">
        <f>E77/$E$74</f>
        <v>0.15995376005296372</v>
      </c>
    </row>
    <row r="78" spans="1:9" ht="15" customHeight="1" x14ac:dyDescent="0.4">
      <c r="B78" s="35" t="s">
        <v>97</v>
      </c>
      <c r="C78" s="118">
        <f>C76-C77</f>
        <v>12980596</v>
      </c>
      <c r="D78" s="132"/>
      <c r="E78" s="151">
        <f>E76-E77</f>
        <v>12980596</v>
      </c>
      <c r="F78" s="132"/>
    </row>
    <row r="79" spans="1:9" ht="15" customHeight="1" x14ac:dyDescent="0.4">
      <c r="B79" s="117" t="s">
        <v>129</v>
      </c>
      <c r="C79" s="95">
        <f>Data!C17</f>
        <v>0</v>
      </c>
      <c r="D79" s="131">
        <f>C79/$C$74</f>
        <v>0</v>
      </c>
      <c r="E79" s="149">
        <f>C79</f>
        <v>0</v>
      </c>
      <c r="F79" s="150">
        <f>E79/$E$74</f>
        <v>0</v>
      </c>
    </row>
    <row r="80" spans="1:9" ht="15" customHeight="1" x14ac:dyDescent="0.4">
      <c r="B80" s="28" t="s">
        <v>135</v>
      </c>
      <c r="C80" s="95">
        <f>Data!C14+MAX(Data!C15,0)</f>
        <v>15312</v>
      </c>
      <c r="D80" s="131">
        <f>C80/$C$74</f>
        <v>6.5362849144738304E-5</v>
      </c>
      <c r="E80" s="149">
        <f>Data!C12*(Data!C12/Data!D12)</f>
        <v>40308.00087211113</v>
      </c>
      <c r="F80" s="150">
        <f t="shared" ref="F80:F83" si="8">E80/$E$74</f>
        <v>1.7206411836009534E-4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141</v>
      </c>
    </row>
    <row r="82" spans="1:8" ht="15" customHeight="1" x14ac:dyDescent="0.4">
      <c r="B82" s="79" t="s">
        <v>192</v>
      </c>
      <c r="C82" s="95">
        <f>MAX(Data!C18,0)</f>
        <v>2199</v>
      </c>
      <c r="D82" s="131">
        <f>C82/$C$74</f>
        <v>9.386945223960261E-6</v>
      </c>
      <c r="E82" s="149">
        <f>C82</f>
        <v>2199</v>
      </c>
      <c r="F82" s="150">
        <f t="shared" si="8"/>
        <v>9.386945223960261E-6</v>
      </c>
    </row>
    <row r="83" spans="1:8" ht="15" customHeight="1" thickBot="1" x14ac:dyDescent="0.45">
      <c r="B83" s="119" t="s">
        <v>134</v>
      </c>
      <c r="C83" s="100">
        <f>C78-C79-C80-C81-C82</f>
        <v>12963085</v>
      </c>
      <c r="D83" s="133">
        <f>C83/$C$74</f>
        <v>5.5335956720573398E-2</v>
      </c>
      <c r="E83" s="152">
        <f>E78-E79-E80-E81-E82</f>
        <v>12938088.999127889</v>
      </c>
      <c r="F83" s="135">
        <f t="shared" si="8"/>
        <v>5.5229255451358046E-2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4">
      <c r="B85" s="93" t="s">
        <v>181</v>
      </c>
      <c r="C85" s="118">
        <f>C83*(1-F84)</f>
        <v>9722313.75</v>
      </c>
      <c r="D85" s="135">
        <f>C85/$C$74</f>
        <v>4.1501967540430049E-2</v>
      </c>
      <c r="E85" s="154">
        <f>E83*(1-F84)</f>
        <v>9703566.7493459173</v>
      </c>
      <c r="F85" s="135">
        <f>E85/$E$74</f>
        <v>4.1421941588518536E-2</v>
      </c>
    </row>
    <row r="86" spans="1:8" ht="15" customHeight="1" x14ac:dyDescent="0.4">
      <c r="B86" s="94" t="s">
        <v>176</v>
      </c>
      <c r="C86" s="161">
        <f>C85*Data!E3/Common_Shares</f>
        <v>0.33876998476971915</v>
      </c>
      <c r="D86" s="130"/>
      <c r="E86" s="163">
        <f>E85*Data!E3/Common_Shares</f>
        <v>0.33811675331788893</v>
      </c>
      <c r="F86" s="130"/>
    </row>
    <row r="87" spans="1:8" ht="15" customHeight="1" x14ac:dyDescent="0.4">
      <c r="B87" s="93" t="s">
        <v>177</v>
      </c>
      <c r="C87" s="164">
        <v>0.2</v>
      </c>
      <c r="D87" s="135">
        <f>C87/C86</f>
        <v>0.59037107474545347</v>
      </c>
      <c r="E87" s="162">
        <f>C87</f>
        <v>0.2</v>
      </c>
      <c r="F87" s="135">
        <f>E87/E86</f>
        <v>0.59151165399948402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169</v>
      </c>
      <c r="C89" s="21"/>
      <c r="H89" s="50" t="s">
        <v>145</v>
      </c>
    </row>
    <row r="90" spans="1:8" ht="15" customHeight="1" x14ac:dyDescent="0.4">
      <c r="B90" s="10" t="s">
        <v>170</v>
      </c>
      <c r="D90" s="212" t="s">
        <v>171</v>
      </c>
      <c r="E90" s="212"/>
      <c r="G90" s="94"/>
    </row>
    <row r="91" spans="1:8" ht="15" customHeight="1" x14ac:dyDescent="0.4">
      <c r="B91" s="1" t="s">
        <v>196</v>
      </c>
      <c r="C91" s="174" t="s">
        <v>229</v>
      </c>
      <c r="D91" s="206" t="s">
        <v>172</v>
      </c>
      <c r="E91" s="206"/>
      <c r="F91" s="29">
        <f>E83/C68</f>
        <v>3.2519270021073965E-2</v>
      </c>
      <c r="H91" s="187"/>
    </row>
    <row r="92" spans="1:8" ht="15" customHeight="1" x14ac:dyDescent="0.4">
      <c r="B92" s="1" t="str">
        <f>IF(C91="CN",Dashboard!B17,Dashboard!B12)</f>
        <v>Required Return (CN)</v>
      </c>
      <c r="C92" s="176">
        <f>IF(C91="CN",Dashboard!C17,IF(C91="US",Dashboard!C12,IF(C91="HK",Dashboard!D12,Dashboard!D17)))</f>
        <v>8.8000000000000009E-2</v>
      </c>
      <c r="D92" s="206" t="s">
        <v>168</v>
      </c>
      <c r="E92" s="206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4">
      <c r="B95" s="1" t="s">
        <v>140</v>
      </c>
      <c r="C95" s="102">
        <f>E85/(C92-F92)*Exchange_Rate</f>
        <v>155205697.21254447</v>
      </c>
      <c r="D95" s="155">
        <f>C95*Data!$E$3/Common_Shares</f>
        <v>5.4080780596971918</v>
      </c>
    </row>
    <row r="96" spans="1:8" ht="15" customHeight="1" x14ac:dyDescent="0.4">
      <c r="B96" s="28" t="s">
        <v>157</v>
      </c>
      <c r="C96" s="102">
        <f>E82*Exchange_Rate</f>
        <v>2391.7203761339188</v>
      </c>
      <c r="D96" s="155">
        <f>C96*Data!$E$3/Common_Shares</f>
        <v>8.3338503182569539E-5</v>
      </c>
      <c r="E96" s="94"/>
      <c r="F96" s="138"/>
    </row>
    <row r="97" spans="2:6" ht="15" customHeight="1" thickBot="1" x14ac:dyDescent="0.45">
      <c r="B97" s="119" t="s">
        <v>158</v>
      </c>
      <c r="C97" s="123">
        <f>(E65+MIN(0,E70))*Exchange_Rate</f>
        <v>-72869631.959005401</v>
      </c>
      <c r="D97" s="156">
        <f>C97*Data!$E$3/Common_Shares</f>
        <v>-2.539112061563257</v>
      </c>
      <c r="E97" s="157" t="s">
        <v>143</v>
      </c>
      <c r="F97" s="158" t="s">
        <v>144</v>
      </c>
    </row>
    <row r="98" spans="2:6" ht="15" customHeight="1" thickTop="1" x14ac:dyDescent="0.4">
      <c r="B98" s="1" t="s">
        <v>119</v>
      </c>
      <c r="C98" s="102">
        <f>C95-C96+$C$97</f>
        <v>82333673.533162937</v>
      </c>
      <c r="D98" s="124">
        <f>MAX(C98*Data!$E$3/Common_Shares,0)</f>
        <v>2.8688826596307524</v>
      </c>
      <c r="E98" s="124">
        <f>D98*(1-25%)</f>
        <v>2.1516619947230642</v>
      </c>
      <c r="F98" s="124">
        <f>D98*1.25</f>
        <v>3.5861033245384406</v>
      </c>
    </row>
    <row r="100" spans="2:6" ht="15" customHeight="1" x14ac:dyDescent="0.4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4">
      <c r="B101" s="1" t="s">
        <v>178</v>
      </c>
      <c r="C101" s="102">
        <f>D101*Common_Shares/Data!E3</f>
        <v>91805978.668335304</v>
      </c>
      <c r="D101" s="155">
        <f>E87/(C92-F92)*Exchange_Rate</f>
        <v>3.1989411980498068</v>
      </c>
      <c r="E101" s="124">
        <f>D101*(1-25%)</f>
        <v>2.399205898537355</v>
      </c>
      <c r="F101" s="124">
        <f>D101*1.25</f>
        <v>3.9986764975622586</v>
      </c>
    </row>
    <row r="103" spans="2:6" ht="15" customHeight="1" x14ac:dyDescent="0.4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2024-11-08T07:36:22Z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193FC6D1-E616-48B3-B910-ECC245072D33</vt:lpwstr>
  </property>
</Properties>
</file>