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FD62DD8-56C8-4847-8A07-51C3BE5CB9C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<sst xmlns="http://schemas.openxmlformats.org/spreadsheetml/2006/main" count="390" uniqueCount="267">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</sst>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0.47272944175123971</c:v>
                </c:pt>
                <c:pt idx="1">
                  <c:v>0.35112695227219692</c:v>
                </c:pt>
                <c:pt idx="2">
                  <c:v>1.6858097812807804E-3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0.17445779619528262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F87" sqref="F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45603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263</v>
      </c>
    </row>
    <row r="10" spans="1:5" ht="13.9" x14ac:dyDescent="0.4">
      <c r="B10" s="140" t="s">
        <v>218</v>
      </c>
      <c r="C10" s="193">
        <v>4373586962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264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264</v>
      </c>
      <c r="D19" s="24"/>
    </row>
    <row r="20" spans="2:13" ht="13.9" x14ac:dyDescent="0.4">
      <c r="B20" s="241" t="s">
        <v>229</v>
      </c>
      <c r="C20" s="242" t="s">
        <v>264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35684253</v>
      </c>
      <c r="D25" s="149">
        <v>11473793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16868997</v>
      </c>
      <c r="D26" s="150">
        <v>6522891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12529703</v>
      </c>
      <c r="D27" s="150">
        <v>8392476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46020</v>
      </c>
      <c r="D30" s="150">
        <v>-14407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0.5+0.3</f>
        <v>0.8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2.2727272727272728E-2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35684253</v>
      </c>
      <c r="D91" s="209"/>
      <c r="E91" s="251">
        <f>C91</f>
        <v>35684253</v>
      </c>
      <c r="F91" s="251">
        <f>C91</f>
        <v>35684253</v>
      </c>
    </row>
    <row r="92" spans="2:8" ht="13.9" x14ac:dyDescent="0.4">
      <c r="B92" s="104" t="s">
        <v>106</v>
      </c>
      <c r="C92" s="77">
        <f>C26</f>
        <v>16868997</v>
      </c>
      <c r="D92" s="159">
        <f>C92/C91</f>
        <v>0.47272944175123971</v>
      </c>
      <c r="E92" s="252">
        <f>E91*D92</f>
        <v>16868997</v>
      </c>
      <c r="F92" s="252">
        <f>F91*D92</f>
        <v>16868997</v>
      </c>
    </row>
    <row r="93" spans="2:8" ht="13.9" x14ac:dyDescent="0.4">
      <c r="B93" s="104" t="s">
        <v>248</v>
      </c>
      <c r="C93" s="77">
        <f>C27+C28</f>
        <v>12529703</v>
      </c>
      <c r="D93" s="159">
        <f>C93/C91</f>
        <v>0.35112695227219692</v>
      </c>
      <c r="E93" s="252">
        <f>E91*D93</f>
        <v>12529703</v>
      </c>
      <c r="F93" s="252">
        <f>F91*D93</f>
        <v>12529703</v>
      </c>
    </row>
    <row r="94" spans="2:8" ht="13.9" x14ac:dyDescent="0.4">
      <c r="B94" s="104" t="s">
        <v>258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60156.862745098035</v>
      </c>
      <c r="D97" s="159">
        <f>C97/C91</f>
        <v>1.6858097812807804E-3</v>
      </c>
      <c r="E97" s="253"/>
      <c r="F97" s="252">
        <f>F91*D97</f>
        <v>60156.862745098035</v>
      </c>
    </row>
    <row r="98" spans="2:7" ht="13.9" x14ac:dyDescent="0.4">
      <c r="B98" s="86" t="s">
        <v>208</v>
      </c>
      <c r="C98" s="237">
        <f>C44</f>
        <v>0.8</v>
      </c>
      <c r="D98" s="266"/>
      <c r="E98" s="254">
        <f>F98</f>
        <v>0.5</v>
      </c>
      <c r="F98" s="254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0027.HK</v>
      </c>
      <c r="D3" s="278"/>
      <c r="E3" s="87"/>
      <c r="F3" s="3" t="s">
        <v>1</v>
      </c>
      <c r="G3" s="132">
        <v>35.200000000000003</v>
      </c>
      <c r="H3" s="134" t="s">
        <v>266</v>
      </c>
    </row>
    <row r="4" spans="1:10" ht="15.75" customHeight="1" x14ac:dyDescent="0.4">
      <c r="B4" s="35" t="s">
        <v>196</v>
      </c>
      <c r="C4" s="279" t="str">
        <f>Inputs!C5</f>
        <v>銀河娛樂</v>
      </c>
      <c r="D4" s="280"/>
      <c r="E4" s="87"/>
      <c r="F4" s="3" t="s">
        <v>3</v>
      </c>
      <c r="G4" s="283">
        <f>Inputs!C10</f>
        <v>4373586962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45603</v>
      </c>
      <c r="D5" s="282"/>
      <c r="E5" s="34"/>
      <c r="F5" s="35" t="s">
        <v>100</v>
      </c>
      <c r="G5" s="275">
        <f>G3*G4/1000000</f>
        <v>153950.26106240004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C0011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0.47272944175123971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0.35112695227219692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1.6858097812807804E-3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</v>
      </c>
      <c r="F24" s="140" t="s">
        <v>260</v>
      </c>
      <c r="G24" s="268">
        <f>G3/(Fin_Analysis!H86*G7)</f>
        <v>32.326002536464571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0.45917617239296266</v>
      </c>
    </row>
    <row r="26" spans="1:8" ht="15.75" customHeight="1" x14ac:dyDescent="0.4">
      <c r="B26" s="138" t="s">
        <v>174</v>
      </c>
      <c r="C26" s="171">
        <f>Fin_Analysis!I83</f>
        <v>0.17445779619528262</v>
      </c>
      <c r="F26" s="141" t="s">
        <v>194</v>
      </c>
      <c r="G26" s="178">
        <f>Fin_Analysis!H88*Exchange_Rate/G3</f>
        <v>1.4204545454545454E-2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8.1195610400495291</v>
      </c>
      <c r="D29" s="129">
        <f>G29*(1+G20)</f>
        <v>14.626874704048552</v>
      </c>
      <c r="E29" s="87"/>
      <c r="F29" s="131">
        <f>IF(Fin_Analysis!C108="Profit",Fin_Analysis!F100,IF(Fin_Analysis!C108="Dividend",Fin_Analysis!F103,Fin_Analysis!F106))</f>
        <v>9.5524247529994462</v>
      </c>
      <c r="G29" s="274">
        <f>IF(Fin_Analysis!C108="Profit",Fin_Analysis!I100,IF(Fin_Analysis!C108="Dividend",Fin_Analysis!I103,Fin_Analysis!I106))</f>
        <v>12.719021481781351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35684253</v>
      </c>
      <c r="D6" s="200">
        <f>IF(Inputs!D25="","",Inputs!D25)</f>
        <v>11473793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16868997</v>
      </c>
      <c r="D8" s="199">
        <f>IF(Inputs!D26="","",Inputs!D26)</f>
        <v>6522891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18815256</v>
      </c>
      <c r="D9" s="151">
        <f t="shared" si="2"/>
        <v>4950902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12529703</v>
      </c>
      <c r="D10" s="199">
        <f>IF(Inputs!D27="","",Inputs!D27)</f>
        <v>8392476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60156.862745098035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0.17445779619528262</v>
      </c>
      <c r="D13" s="229">
        <f t="shared" si="3"/>
        <v>-0.29995085321828624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6225396.1372549022</v>
      </c>
      <c r="D14" s="230">
        <f t="shared" ref="D14:M14" si="4">IF(D6="","",D9-D10-MAX(D11,0)-MAX(D12,0))</f>
        <v>-3441574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6225396.1372549022</v>
      </c>
      <c r="D22" s="161">
        <f t="shared" ref="D22:M22" si="8">IF(D6="","",D14-MAX(D16,0)-MAX(D17,0)-ABS(MAX(D21,0)-MAX(D19,0)))</f>
        <v>-3441574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0.13346021408939118</v>
      </c>
      <c r="D23" s="153">
        <f t="shared" si="9"/>
        <v>-0.22946240271198895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0.47272944175123971</v>
      </c>
      <c r="D42" s="156">
        <f t="shared" si="34"/>
        <v>0.56850345827225579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0.35112695227219692</v>
      </c>
      <c r="D43" s="153">
        <f t="shared" si="35"/>
        <v>0.7314473949460305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1.6858097812807804E-3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0.17445779619528262</v>
      </c>
      <c r="D48" s="153">
        <f t="shared" si="40"/>
        <v>-0.29995085321828624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35684253</v>
      </c>
      <c r="D74" s="209"/>
      <c r="E74" s="238">
        <f>Inputs!E91</f>
        <v>35684253</v>
      </c>
      <c r="F74" s="209"/>
      <c r="H74" s="238">
        <f>Inputs!F91</f>
        <v>35684253</v>
      </c>
      <c r="I74" s="209"/>
      <c r="K74" s="24"/>
    </row>
    <row r="75" spans="1:11" ht="15" customHeight="1" x14ac:dyDescent="0.4">
      <c r="B75" s="104" t="s">
        <v>106</v>
      </c>
      <c r="C75" s="77">
        <f>Data!C8</f>
        <v>16868997</v>
      </c>
      <c r="D75" s="159">
        <f>C75/$C$74</f>
        <v>0.47272944175123971</v>
      </c>
      <c r="E75" s="238">
        <f>Inputs!E92</f>
        <v>16868997</v>
      </c>
      <c r="F75" s="160">
        <f>E75/E74</f>
        <v>0.47272944175123971</v>
      </c>
      <c r="H75" s="238">
        <f>Inputs!F92</f>
        <v>16868997</v>
      </c>
      <c r="I75" s="160">
        <f>H75/$H$74</f>
        <v>0.47272944175123971</v>
      </c>
      <c r="K75" s="24"/>
    </row>
    <row r="76" spans="1:11" ht="15" customHeight="1" x14ac:dyDescent="0.4">
      <c r="B76" s="35" t="s">
        <v>96</v>
      </c>
      <c r="C76" s="161">
        <f>C74-C75</f>
        <v>18815256</v>
      </c>
      <c r="D76" s="210"/>
      <c r="E76" s="162">
        <f>E74-E75</f>
        <v>18815256</v>
      </c>
      <c r="F76" s="210"/>
      <c r="H76" s="162">
        <f>H74-H75</f>
        <v>18815256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12529703</v>
      </c>
      <c r="D77" s="159">
        <f>C77/$C$74</f>
        <v>0.35112695227219692</v>
      </c>
      <c r="E77" s="238">
        <f>Inputs!E93</f>
        <v>12529703</v>
      </c>
      <c r="F77" s="160">
        <f>E77/E74</f>
        <v>0.35112695227219692</v>
      </c>
      <c r="H77" s="238">
        <f>Inputs!F93</f>
        <v>12529703</v>
      </c>
      <c r="I77" s="160">
        <f>H77/$H$74</f>
        <v>0.35112695227219692</v>
      </c>
      <c r="K77" s="24"/>
    </row>
    <row r="78" spans="1:11" ht="15" customHeight="1" x14ac:dyDescent="0.4">
      <c r="B78" s="73" t="s">
        <v>173</v>
      </c>
      <c r="C78" s="77">
        <f>MAX(Data!C12,0)</f>
        <v>60156.862745098035</v>
      </c>
      <c r="D78" s="159">
        <f>C78/$C$74</f>
        <v>1.6858097812807804E-3</v>
      </c>
      <c r="E78" s="180">
        <f>E74*F78</f>
        <v>60156.862745098035</v>
      </c>
      <c r="F78" s="160">
        <f>I78</f>
        <v>1.6858097812807804E-3</v>
      </c>
      <c r="H78" s="238">
        <f>Inputs!F97</f>
        <v>60156.862745098035</v>
      </c>
      <c r="I78" s="160">
        <f>H78/$H$74</f>
        <v>1.6858097812807804E-3</v>
      </c>
      <c r="K78" s="24"/>
    </row>
    <row r="79" spans="1:11" ht="15" customHeight="1" x14ac:dyDescent="0.4">
      <c r="B79" s="256" t="s">
        <v>233</v>
      </c>
      <c r="C79" s="257">
        <f>C76-C77-C78</f>
        <v>6225396.1372549022</v>
      </c>
      <c r="D79" s="258">
        <f>C79/C74</f>
        <v>0.17445779619528262</v>
      </c>
      <c r="E79" s="259">
        <f>E76-E77-E78</f>
        <v>6225396.1372549022</v>
      </c>
      <c r="F79" s="258">
        <f>E79/E74</f>
        <v>0.17445779619528262</v>
      </c>
      <c r="G79" s="260"/>
      <c r="H79" s="259">
        <f>H76-H77-H78</f>
        <v>6225396.1372549022</v>
      </c>
      <c r="I79" s="258">
        <f>H79/H74</f>
        <v>0.17445779619528262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6225396.1372549022</v>
      </c>
      <c r="D83" s="164">
        <f>C83/$C$74</f>
        <v>0.17445779619528262</v>
      </c>
      <c r="E83" s="165">
        <f>E79-E81-E82-E80</f>
        <v>6225396.1372549022</v>
      </c>
      <c r="F83" s="164">
        <f>E83/E74</f>
        <v>0.17445779619528262</v>
      </c>
      <c r="H83" s="165">
        <f>H79-H81-H82-H80</f>
        <v>6225396.1372549022</v>
      </c>
      <c r="I83" s="164">
        <f>H83/$H$74</f>
        <v>0.17445779619528262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4762428.0449999999</v>
      </c>
      <c r="D85" s="258">
        <f>C85/$C$74</f>
        <v>0.13346021408939118</v>
      </c>
      <c r="E85" s="264">
        <f>E83*(1-F84)</f>
        <v>4762428.0449999999</v>
      </c>
      <c r="F85" s="258">
        <f>E85/E74</f>
        <v>0.13346021408939118</v>
      </c>
      <c r="G85" s="260"/>
      <c r="H85" s="264">
        <f>H83*(1-I84)</f>
        <v>4762428.0449999999</v>
      </c>
      <c r="I85" s="258">
        <f>H85/$H$74</f>
        <v>0.13346021408939118</v>
      </c>
      <c r="K85" s="24"/>
    </row>
    <row r="86" spans="1:11" ht="15" customHeight="1" x14ac:dyDescent="0.4">
      <c r="B86" s="87" t="s">
        <v>161</v>
      </c>
      <c r="C86" s="167">
        <f>C85*Data!C4/Common_Shares</f>
        <v>1.0889066769172429</v>
      </c>
      <c r="D86" s="209"/>
      <c r="E86" s="168">
        <f>E85*Data!C4/Common_Shares</f>
        <v>1.0889066769172429</v>
      </c>
      <c r="F86" s="209"/>
      <c r="H86" s="168">
        <f>H85*Data!C4/Common_Shares</f>
        <v>1.0889066769172429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3.0934848776058035E-2</v>
      </c>
      <c r="D87" s="209"/>
      <c r="E87" s="262">
        <f>E86*Exchange_Rate/Dashboard!G3</f>
        <v>3.0934848776058035E-2</v>
      </c>
      <c r="F87" s="209"/>
      <c r="H87" s="262">
        <f>H86*Exchange_Rate/Dashboard!G3</f>
        <v>3.0934848776058035E-2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0.8</v>
      </c>
      <c r="D88" s="166">
        <f>C88/C86</f>
        <v>0.73468187582874034</v>
      </c>
      <c r="E88" s="170">
        <f>Inputs!E98</f>
        <v>0.5</v>
      </c>
      <c r="F88" s="166">
        <f>E88/E86</f>
        <v>0.45917617239296266</v>
      </c>
      <c r="H88" s="170">
        <f>Inputs!F98</f>
        <v>0.5</v>
      </c>
      <c r="I88" s="166">
        <f>H88/H86</f>
        <v>0.45917617239296266</v>
      </c>
      <c r="K88" s="24"/>
    </row>
    <row r="89" spans="1:11" ht="15" customHeight="1" x14ac:dyDescent="0.4">
      <c r="B89" s="87" t="s">
        <v>222</v>
      </c>
      <c r="C89" s="261">
        <f>C88*Exchange_Rate/Dashboard!G3</f>
        <v>2.2727272727272728E-2</v>
      </c>
      <c r="D89" s="209"/>
      <c r="E89" s="261">
        <f>E88*Exchange_Rate/Dashboard!G3</f>
        <v>1.4204545454545454E-2</v>
      </c>
      <c r="F89" s="209"/>
      <c r="H89" s="261">
        <f>H88*Exchange_Rate/Dashboard!G3</f>
        <v>1.4204545454545454E-2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19.213338184998342</v>
      </c>
      <c r="H93" s="87" t="s">
        <v>210</v>
      </c>
      <c r="I93" s="144">
        <f>FV(H87,D93,0,-(H86/(C93-D94)))*Exchange_Rate</f>
        <v>19.213338184998342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8.1293127492859565</v>
      </c>
      <c r="H94" s="87" t="s">
        <v>211</v>
      </c>
      <c r="I94" s="144">
        <f>FV(H89,D93,0,-(H88/(C93-D94)))*Exchange_Rate</f>
        <v>8.1293127492859565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41778360.355204448</v>
      </c>
      <c r="D97" s="213"/>
      <c r="E97" s="123">
        <f>PV(C94,D93,0,-F93)</f>
        <v>9.5524247529994462</v>
      </c>
      <c r="F97" s="213"/>
      <c r="H97" s="123">
        <f>PV(C94,D93,0,-I93)</f>
        <v>9.5524247529994462</v>
      </c>
      <c r="I97" s="123">
        <f>PV(C93,D93,0,-I93)</f>
        <v>12.719021481781351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41778360.355204448</v>
      </c>
      <c r="D100" s="109">
        <f>MIN(F100*(1-C94),E100)</f>
        <v>8.1195610400495291</v>
      </c>
      <c r="E100" s="109">
        <f>MAX(E97-H98+E99,0)</f>
        <v>9.5524247529994462</v>
      </c>
      <c r="F100" s="109">
        <f>(E100+H100)/2</f>
        <v>9.5524247529994462</v>
      </c>
      <c r="H100" s="109">
        <f>MAX(C100*Data!$C$4/Common_Shares,0)</f>
        <v>9.5524247529994462</v>
      </c>
      <c r="I100" s="109">
        <f>MAX(I97-H98+H99,0)</f>
        <v>12.719021481781351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17676749.048481692</v>
      </c>
      <c r="D103" s="109">
        <f>MIN(F103*(1-C94),E103)</f>
        <v>3.4354493969724431</v>
      </c>
      <c r="E103" s="123">
        <f>PV(C94,D93,0,-F94)</f>
        <v>4.041705172908757</v>
      </c>
      <c r="F103" s="109">
        <f>(E103+H103)/2</f>
        <v>4.041705172908757</v>
      </c>
      <c r="H103" s="123">
        <f>PV(C94,D93,0,-I94)</f>
        <v>4.041705172908757</v>
      </c>
      <c r="I103" s="109">
        <f>PV(C93,D93,0,-I94)</f>
        <v>5.381516865768738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29727554.701843072</v>
      </c>
      <c r="D106" s="109">
        <f>(D100+D103)/2</f>
        <v>5.7775052185109859</v>
      </c>
      <c r="E106" s="123">
        <f>(E100+E103)/2</f>
        <v>6.7970649629541011</v>
      </c>
      <c r="F106" s="109">
        <f>(F100+F103)/2</f>
        <v>6.7970649629541011</v>
      </c>
      <c r="H106" s="123">
        <f>(H100+H103)/2</f>
        <v>6.7970649629541011</v>
      </c>
      <c r="I106" s="123">
        <f>(I100+I103)/2</f>
        <v>9.0502691737750443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