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17BFB05-86BD-4570-BA3A-9F708667726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D45" i="4" s="1"/>
  <c r="C44" i="4"/>
  <c r="C45" i="4" s="1"/>
  <c r="D43" i="4"/>
  <c r="D40" i="4"/>
  <c r="D39" i="4"/>
  <c r="D35" i="4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6" i="4" l="1"/>
  <c r="F95" i="4"/>
  <c r="E92" i="4"/>
  <c r="F97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<sst xmlns="http://schemas.openxmlformats.org/spreadsheetml/2006/main" count="390" uniqueCount="269">
  <si>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</si>
  <si>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</si>
  <si>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</si>
  <si>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</si>
  <si>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</si>
  <si>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</si>
  <si>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</si>
  <si>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</si>
  <si>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</si>
  <si>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</si>
  <si>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</si>
  <si>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</si>
  <si>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</si>
  <si>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</si>
  <si>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</si>
  <si>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</si>
  <si>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</si>
  <si>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</si>
  <si>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</si>
  <si>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</si>
  <si>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</si>
  <si>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</si>
  <si>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</si>
  <si>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</si>
  <si>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</si>
  <si>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</si>
  <si>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</si>
  <si>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</si>
  <si>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</si>
  <si>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</si>
  <si>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</si>
  <si>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</si>
  <si>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</si>
  <si>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</si>
  <si>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</si>
  <si>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</si>
  <si>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</si>
  <si>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</si>
  <si>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</si>
  <si>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</si>
  <si>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</si>
  <si>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</si>
  <si>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</si>
  <si>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</si>
  <si>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</si>
  <si>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</si>
  <si>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</si>
  <si>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</si>
  <si>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</si>
  <si>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</si>
  <si>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</si>
  <si>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</si>
  <si>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</si>
  <si>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</si>
  <si>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</si>
  <si>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</si>
  <si>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</si>
  <si>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</si>
  <si>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</si>
  <si>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</si>
  <si>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</si>
  <si>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</si>
  <si>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</si>
  <si>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</si>
  <si>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</si>
  <si>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</si>
  <si>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</si>
  <si>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</si>
  <si>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</si>
  <si>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</si>
  <si>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</si>
  <si>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</si>
  <si>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</si>
  <si>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</si>
  <si>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</si>
  <si>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</si>
  <si>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</si>
  <si>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</si>
  <si>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</si>
  <si>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</si>
  <si>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</si>
  <si>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</si>
  <si>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</si>
  <si>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</si>
  <si>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</si>
  <si>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</si>
  <si>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</si>
  <si>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</si>
  <si>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</si>
  <si>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</si>
  <si>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</si>
  <si>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</si>
  <si>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</si>
  <si>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</si>
  <si>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</si>
  <si>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</si>
  <si>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</si>
  <si>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</si>
  <si>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</si>
  <si>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</si>
  <si>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</si>
  <si>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</si>
  <si>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</si>
  <si>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</si>
  <si>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</si>
  <si>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</si>
  <si>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</si>
  <si>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</si>
  <si>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</si>
  <si>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</si>
  <si>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</si>
  <si>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</si>
  <si>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</si>
  <si>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</si>
  <si>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</si>
  <si>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</si>
  <si>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</si>
  <si>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</si>
  <si>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</si>
  <si>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</si>
  <si>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</si>
  <si>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</si>
  <si>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</si>
  <si>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</si>
  <si>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</si>
  <si>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</si>
  <si>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</si>
  <si>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</si>
  <si>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</si>
  <si>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</si>
  <si>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</si>
  <si>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</si>
  <si>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</si>
  <si>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</si>
  <si>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</si>
  <si>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</si>
  <si>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</si>
  <si>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</si>
  <si>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</si>
  <si>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</si>
  <si>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</si>
  <si>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</si>
  <si>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</si>
  <si>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</si>
  <si>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</si>
  <si>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</si>
  <si>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</si>
  <si>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</si>
  <si>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</si>
  <si>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</si>
  <si>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</si>
  <si>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</si>
  <si>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</si>
  <si>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</si>
  <si>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</si>
  <si>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</si>
  <si>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</si>
  <si>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</si>
  <si>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</si>
  <si>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</si>
  <si>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</si>
  <si>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</si>
  <si>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</si>
  <si>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</si>
  <si>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</si>
  <si>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</si>
  <si>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</si>
  <si>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</si>
  <si>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</si>
  <si>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</si>
  <si>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</si>
  <si>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</si>
  <si>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</si>
  <si>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</si>
  <si>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</si>
  <si>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</si>
  <si>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</si>
  <si>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</si>
  <si>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</si>
  <si>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</si>
  <si>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</si>
  <si>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</si>
  <si>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</si>
  <si>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</si>
  <si>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</si>
  <si>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</si>
  <si>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</si>
  <si>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</si>
  <si>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</si>
  <si>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</si>
  <si>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</si>
  <si>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</si>
  <si>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</si>
  <si>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</si>
  <si>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</si>
  <si>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</si>
  <si>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</si>
  <si>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</si>
  <si>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</si>
  <si>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</si>
  <si>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</si>
  <si>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</si>
  <si>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</si>
  <si>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</si>
  <si>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</si>
  <si>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</si>
  <si>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</si>
  <si>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</si>
  <si>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</si>
  <si>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</si>
  <si>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</si>
  <si>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</si>
  <si>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</si>
  <si>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</si>
  <si>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</si>
  <si>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</si>
  <si>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</si>
  <si>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</si>
  <si>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</si>
  <si>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</si>
  <si>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</si>
  <si>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</si>
  <si>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</si>
  <si>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</si>
  <si>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</si>
  <si>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</si>
  <si>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</si>
  <si>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</si>
  <si>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</si>
  <si>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</si>
  <si>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</si>
  <si>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</si>
  <si>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</si>
  <si>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</si>
  <si>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</si>
  <si>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</si>
  <si>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</si>
  <si>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</si>
  <si>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</si>
  <si>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</si>
  <si>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</si>
  <si>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</si>
  <si>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</si>
  <si>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</si>
  <si>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</si>
  <si>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</si>
  <si>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</si>
  <si>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</si>
  <si>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</si>
  <si>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</si>
  <si>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</si>
  <si>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</si>
  <si>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</si>
  <si>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</si>
  <si>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</si>
  <si>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</si>
  <si>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</si>
  <si>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</si>
  <si>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</si>
  <si>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</si>
  <si>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0700.HK</t>
  </si>
  <si>
    <t>騰訊控股</t>
  </si>
  <si>
    <t xml:space="preserve">Superior Cycl. </t>
  </si>
  <si>
    <t>C0009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</si>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</sst>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8" sqref="E8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262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9267407258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3.4/Exchange_Rate</f>
        <v>3.1800844870321612</v>
      </c>
      <c r="D44" s="250">
        <f>2.4/Exchange_Rate</f>
        <v>2.2447655202579964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8.4033613445378148E-3</v>
      </c>
      <c r="D45" s="152">
        <f>IF(D44="","",D44*Exchange_Rate/Dashboard!$G$3)</f>
        <v>5.9317844784972807E-3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207</v>
      </c>
      <c r="C98" s="237">
        <f>C44</f>
        <v>3.1800844870321612</v>
      </c>
      <c r="D98" s="266"/>
      <c r="E98" s="254">
        <f>F98</f>
        <v>3.1800844870321612</v>
      </c>
      <c r="F98" s="254">
        <f>C98</f>
        <v>3.1800844870321612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0700.HK</v>
      </c>
      <c r="D3" s="278"/>
      <c r="E3" s="87"/>
      <c r="F3" s="3" t="s">
        <v>1</v>
      </c>
      <c r="G3" s="132">
        <v>404.6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騰訊控股</v>
      </c>
      <c r="D4" s="280"/>
      <c r="E4" s="87"/>
      <c r="F4" s="3" t="s">
        <v>2</v>
      </c>
      <c r="G4" s="283">
        <f>Inputs!C10</f>
        <v>9267407258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3749592.9765868001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0.51871628777616319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3.7808072133532473</v>
      </c>
    </row>
    <row r="24" spans="1:8" ht="15.75" customHeight="1" x14ac:dyDescent="0.4">
      <c r="B24" s="137" t="s">
        <v>170</v>
      </c>
      <c r="C24" s="171">
        <f>Fin_Analysis!I81</f>
        <v>2.0144003021272054E-2</v>
      </c>
      <c r="F24" s="140" t="s">
        <v>259</v>
      </c>
      <c r="G24" s="268">
        <f>G3/(Fin_Analysis!H86*G7)</f>
        <v>33.56147850229631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0.28202923111173367</v>
      </c>
    </row>
    <row r="26" spans="1:8" ht="15.75" customHeight="1" x14ac:dyDescent="0.4">
      <c r="B26" s="138" t="s">
        <v>173</v>
      </c>
      <c r="C26" s="171">
        <f>Fin_Analysis!I83</f>
        <v>0.22877761631486909</v>
      </c>
      <c r="F26" s="141" t="s">
        <v>193</v>
      </c>
      <c r="G26" s="178">
        <f>Fin_Analysis!H88*Exchange_Rate/G3</f>
        <v>8.4033613445378148E-3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57.138609608781294</v>
      </c>
      <c r="D29" s="129">
        <f>G29*(1+G20)</f>
        <v>110.04718349937198</v>
      </c>
      <c r="E29" s="87"/>
      <c r="F29" s="131">
        <f>IF(Fin_Analysis!C108="Profit",Fin_Analysis!F100,IF(Fin_Analysis!C108="Dividend",Fin_Analysis!F103,Fin_Analysis!F106))</f>
        <v>67.221893657389757</v>
      </c>
      <c r="G29" s="274">
        <f>IF(Fin_Analysis!C108="Profit",Fin_Analysis!I100,IF(Fin_Analysis!C108="Dividend",Fin_Analysis!I103,Fin_Analysis!I106))</f>
        <v>95.693203042932169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0.30171018928907634</v>
      </c>
      <c r="D40" s="155">
        <f>IF(D6="","",D14/MAX(D39,0))</f>
        <v>6.2984808450164782E-3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0.51871628777616319</v>
      </c>
      <c r="D42" s="156">
        <f t="shared" si="34"/>
        <v>0.56947950778285894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0.22616191719415779</v>
      </c>
      <c r="D43" s="153">
        <f t="shared" si="35"/>
        <v>0.2451077626624735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2.0144003021272054E-2</v>
      </c>
      <c r="D45" s="153">
        <f t="shared" si="37"/>
        <v>1.686406324384368E-2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6.2001756935379264E-3</v>
      </c>
      <c r="D46" s="153">
        <f t="shared" ref="D46:M46" si="38">IF(D6="","",MAX(D12,0)/D6)</f>
        <v>1.1204239337940056E-3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0.22877761631486909</v>
      </c>
      <c r="D48" s="153">
        <f t="shared" si="40"/>
        <v>0.16742824237702988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8.5794274361058437E-2</v>
      </c>
      <c r="D50" s="156">
        <f t="shared" si="41"/>
        <v>0.77753574056175079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7.2034350549658056E-3</v>
      </c>
      <c r="D51" s="153">
        <f t="shared" si="42"/>
        <v>4.071861610813774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0.43950826903206702</v>
      </c>
      <c r="D53" s="156">
        <f t="shared" ref="D53:M53" si="43">IF(D36="","",(D27-D36)/D27)</f>
        <v>0.27242491285597292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0.44519746932515336</v>
      </c>
      <c r="D54" s="157">
        <f t="shared" si="44"/>
        <v>5.6738563800966181E-2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8.8050585305284618E-2</v>
      </c>
      <c r="D55" s="153">
        <f t="shared" si="45"/>
        <v>0.10072412517995426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1.3450387544929943</v>
      </c>
      <c r="D56" s="158">
        <f t="shared" si="46"/>
        <v>3.055211094750502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-270545.40159864468</v>
      </c>
      <c r="E6" s="56">
        <f>1-D6/D3</f>
        <v>1.2916626526375621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3.7808072133532473</v>
      </c>
      <c r="E53" s="88">
        <f>IF(C53=0,0,MAX(C53,C53*Dashboard!G23))</f>
        <v>252996.49548874589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312960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95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232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160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2.9796065150454527E-2</v>
      </c>
      <c r="D87" s="209"/>
      <c r="E87" s="262">
        <f>E86*Exchange_Rate/Dashboard!G3</f>
        <v>2.9796065150454527E-2</v>
      </c>
      <c r="F87" s="209"/>
      <c r="H87" s="262">
        <f>H86*Exchange_Rate/Dashboard!G3</f>
        <v>2.9796065150454527E-2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3.1800844870321612</v>
      </c>
      <c r="D88" s="166">
        <f>C88/C86</f>
        <v>0.28202923111173367</v>
      </c>
      <c r="E88" s="170">
        <f>Inputs!E98</f>
        <v>3.1800844870321612</v>
      </c>
      <c r="F88" s="166">
        <f>E88/E86</f>
        <v>0.28202923111173367</v>
      </c>
      <c r="H88" s="170">
        <f>Inputs!F98</f>
        <v>3.1800844870321612</v>
      </c>
      <c r="I88" s="166">
        <f>H88/H86</f>
        <v>0.28202923111173367</v>
      </c>
      <c r="K88" s="24"/>
    </row>
    <row r="89" spans="1:11" ht="15" customHeight="1" x14ac:dyDescent="0.4">
      <c r="B89" s="87" t="s">
        <v>221</v>
      </c>
      <c r="C89" s="261">
        <f>C88*Exchange_Rate/Dashboard!G3</f>
        <v>8.4033613445378148E-3</v>
      </c>
      <c r="D89" s="209"/>
      <c r="E89" s="261">
        <f>E88*Exchange_Rate/Dashboard!G3</f>
        <v>8.4033613445378148E-3</v>
      </c>
      <c r="F89" s="209"/>
      <c r="H89" s="261">
        <f>H88*Exchange_Rate/Dashboard!G3</f>
        <v>8.4033613445378148E-3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193.91367518720725</v>
      </c>
      <c r="H93" s="87" t="s">
        <v>209</v>
      </c>
      <c r="I93" s="144">
        <f>FV(H87,D93,0,-(H86/(C93-D94)))*Exchange_Rate</f>
        <v>193.91367518720725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49.239977281876968</v>
      </c>
      <c r="H94" s="87" t="s">
        <v>210</v>
      </c>
      <c r="I94" s="144">
        <f>FV(H89,D93,0,-(H88/(C93-D94)))*Exchange_Rate</f>
        <v>49.239977281876968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893464.87636491947</v>
      </c>
      <c r="D97" s="213"/>
      <c r="E97" s="123">
        <f>PV(C94,D93,0,-F93)</f>
        <v>96.409367959268707</v>
      </c>
      <c r="F97" s="213"/>
      <c r="H97" s="123">
        <f>PV(C94,D93,0,-I93)</f>
        <v>96.409367959268707</v>
      </c>
      <c r="I97" s="123">
        <f>PV(C93,D93,0,-I93)</f>
        <v>124.88067734481112</v>
      </c>
      <c r="K97" s="24"/>
    </row>
    <row r="98" spans="2:11" ht="15" customHeight="1" x14ac:dyDescent="0.4">
      <c r="B98" s="28" t="s">
        <v>144</v>
      </c>
      <c r="C98" s="91">
        <f>E53*Exchange_Rate</f>
        <v>270492.21118792141</v>
      </c>
      <c r="D98" s="213"/>
      <c r="E98" s="213"/>
      <c r="F98" s="213"/>
      <c r="H98" s="123">
        <f>C98*Data!$C$4/Common_Shares</f>
        <v>29.187474301878947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622972.66517699813</v>
      </c>
      <c r="D100" s="109">
        <f>MIN(F100*(1-C94),E100)</f>
        <v>57.138609608781294</v>
      </c>
      <c r="E100" s="109">
        <f>MAX(E97-H98+E99,0)</f>
        <v>67.221893657389757</v>
      </c>
      <c r="F100" s="109">
        <f>(E100+H100)/2</f>
        <v>67.221893657389757</v>
      </c>
      <c r="H100" s="109">
        <f>MAX(C100*Data!$C$4/Common_Shares,0)</f>
        <v>67.221893657389771</v>
      </c>
      <c r="I100" s="109">
        <f>MAX(I97-H98+H99,0)</f>
        <v>95.693203042932169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226875.12972920024</v>
      </c>
      <c r="D103" s="109">
        <f>MIN(F103*(1-C94),E103)</f>
        <v>20.808825478490718</v>
      </c>
      <c r="E103" s="123">
        <f>PV(C94,D93,0,-F94)</f>
        <v>24.480971151165551</v>
      </c>
      <c r="F103" s="109">
        <f>(E103+H103)/2</f>
        <v>24.480971151165551</v>
      </c>
      <c r="H103" s="123">
        <f>PV(C94,D93,0,-I94)</f>
        <v>24.480971151165551</v>
      </c>
      <c r="I103" s="109">
        <f>PV(C93,D93,0,-I94)</f>
        <v>31.710614063022891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424923.89745309914</v>
      </c>
      <c r="D106" s="109">
        <f>(D100+D103)/2</f>
        <v>38.973717543636006</v>
      </c>
      <c r="E106" s="123">
        <f>(E100+E103)/2</f>
        <v>45.851432404277652</v>
      </c>
      <c r="F106" s="109">
        <f>(F100+F103)/2</f>
        <v>45.851432404277652</v>
      </c>
      <c r="H106" s="123">
        <f>(H100+H103)/2</f>
        <v>45.851432404277659</v>
      </c>
      <c r="I106" s="123">
        <f>(I100+I103)/2</f>
        <v>63.701908552977528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