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0710F3-26DC-41C9-9925-217F9512514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<sst xmlns="http://schemas.openxmlformats.org/spreadsheetml/2006/main" count="390" uniqueCount="271">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</sst>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8" sqref="F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8.323863200250381E-2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5.78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1057861.2517880399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0.58959921593133324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8.7950551583335184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8.323863200250381E-2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4.0413100223912055</v>
      </c>
      <c r="D29" s="129">
        <f>G29*(1+G20)</f>
        <v>10.317336748238674</v>
      </c>
      <c r="E29" s="87"/>
      <c r="F29" s="131">
        <f>IF(Fin_Analysis!C108="Profit",Fin_Analysis!F100,IF(Fin_Analysis!C108="Dividend",Fin_Analysis!F103,Fin_Analysis!F106))</f>
        <v>5.3583862257870241</v>
      </c>
      <c r="G29" s="274">
        <f>IF(Fin_Analysis!C108="Profit",Fin_Analysis!I100,IF(Fin_Analysis!C108="Dividend",Fin_Analysis!I103,Fin_Analysis!I106))</f>
        <v>8.9715971723814558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0.39379589689979072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1.3453793007048864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0.13393085739941596</v>
      </c>
      <c r="D55" s="153">
        <f t="shared" si="45"/>
        <v>0.11087087354835834</v>
      </c>
      <c r="E55" s="153">
        <f t="shared" si="45"/>
        <v>0.37504987618040286</v>
      </c>
      <c r="F55" s="153">
        <f t="shared" si="45"/>
        <v>-0.6025758482051593</v>
      </c>
      <c r="G55" s="153">
        <f t="shared" si="45"/>
        <v>-3.8930994750992189</v>
      </c>
      <c r="H55" s="153">
        <f t="shared" si="45"/>
        <v>0.36862117270362221</v>
      </c>
      <c r="I55" s="153">
        <f t="shared" si="45"/>
        <v>0.44722652618531145</v>
      </c>
      <c r="J55" s="153">
        <f t="shared" si="45"/>
        <v>-0.62230436223746732</v>
      </c>
      <c r="K55" s="153">
        <f t="shared" si="45"/>
        <v>0.9538030424339472</v>
      </c>
      <c r="L55" s="153">
        <f t="shared" si="45"/>
        <v>1.8302229197832098</v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0.93822569459464367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-694807.67854129465</v>
      </c>
      <c r="E6" s="56">
        <f>1-D6/D3</f>
        <v>1.4140311869902771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0.13618896970630653</v>
      </c>
      <c r="D87" s="209"/>
      <c r="E87" s="262">
        <f>E86*Exchange_Rate/Dashboard!G3</f>
        <v>8.5475509976255443E-2</v>
      </c>
      <c r="F87" s="209"/>
      <c r="H87" s="262">
        <f>H86*Exchange_Rate/Dashboard!G3</f>
        <v>0.11370025338072802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8.323863200250381E-2</v>
      </c>
      <c r="D89" s="209"/>
      <c r="E89" s="261">
        <f>E88*Exchange_Rate/Dashboard!G3</f>
        <v>6.659090560200305E-2</v>
      </c>
      <c r="F89" s="209"/>
      <c r="H89" s="261">
        <f>H88*Exchange_Rate/Dashboard!G3</f>
        <v>8.323863200250381E-2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10.340396459898232</v>
      </c>
      <c r="H93" s="87" t="s">
        <v>209</v>
      </c>
      <c r="I93" s="144">
        <f>FV(H87,D93,0,-(H86/(C93-D94)))*Exchange_Rate</f>
        <v>15.638617836269015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7.3790362632743367</v>
      </c>
      <c r="H94" s="87" t="s">
        <v>210</v>
      </c>
      <c r="I94" s="144">
        <f>FV(H89,D93,0,-(H88/(C93-D94)))*Exchange_Rate</f>
        <v>9.9664611077881897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1423016.8295833687</v>
      </c>
      <c r="D97" s="213"/>
      <c r="E97" s="123">
        <f>PV(C94,D93,0,-F93)</f>
        <v>5.1410045536221967</v>
      </c>
      <c r="F97" s="213"/>
      <c r="H97" s="123">
        <f>PV(C94,D93,0,-I93)</f>
        <v>7.7751569604138346</v>
      </c>
      <c r="I97" s="123">
        <f>PV(C93,D93,0,-I93)</f>
        <v>10.071291703612447</v>
      </c>
      <c r="K97" s="24"/>
    </row>
    <row r="98" spans="2:11" ht="15" customHeight="1" x14ac:dyDescent="0.4">
      <c r="B98" s="28" t="s">
        <v>144</v>
      </c>
      <c r="C98" s="91">
        <f>E53*Exchange_Rate</f>
        <v>201267.16840700308</v>
      </c>
      <c r="D98" s="213"/>
      <c r="E98" s="213"/>
      <c r="F98" s="213"/>
      <c r="H98" s="123">
        <f>C98*Data!$C$4/Common_Shares</f>
        <v>1.0996945312309909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1221749.6611763656</v>
      </c>
      <c r="D100" s="109">
        <f>MIN(F100*(1-C94),E100)</f>
        <v>4.0413100223912055</v>
      </c>
      <c r="E100" s="109">
        <f>MAX(E97-H98+E99,0)</f>
        <v>4.0413100223912055</v>
      </c>
      <c r="F100" s="109">
        <f>(E100+H100)/2</f>
        <v>5.3583862257870241</v>
      </c>
      <c r="H100" s="109">
        <f>MAX(C100*Data!$C$4/Common_Shares,0)</f>
        <v>6.6754624291828426</v>
      </c>
      <c r="I100" s="109">
        <f>MAX(I97-H98+H99,0)</f>
        <v>8.9715971723814558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906885.89210734726</v>
      </c>
      <c r="D103" s="109">
        <f>MIN(F103*(1-C94),E103)</f>
        <v>3.6651055459047233</v>
      </c>
      <c r="E103" s="123">
        <f>PV(C94,D93,0,-F94)</f>
        <v>3.6686851590224272</v>
      </c>
      <c r="F103" s="109">
        <f>(E103+H103)/2</f>
        <v>4.3118888775349689</v>
      </c>
      <c r="H103" s="123">
        <f>PV(C94,D93,0,-I94)</f>
        <v>4.9550925960475096</v>
      </c>
      <c r="I103" s="109">
        <f>PV(C93,D93,0,-I94)</f>
        <v>6.4184148573829667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705545.42853719566</v>
      </c>
      <c r="D106" s="109">
        <f>(D100+D103)/2</f>
        <v>3.8532077841479646</v>
      </c>
      <c r="E106" s="123">
        <f>(E100+E103)/2</f>
        <v>3.8549975907068164</v>
      </c>
      <c r="F106" s="109">
        <f>(F100+F103)/2</f>
        <v>4.8351375516609965</v>
      </c>
      <c r="H106" s="123">
        <f>(H100+H103)/2</f>
        <v>5.8152775126151761</v>
      </c>
      <c r="I106" s="123">
        <f>(I100+I103)/2</f>
        <v>7.6950060148822113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