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9A638A5-1D8E-4766-9019-20E456479E3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2" i="4"/>
  <c r="F95" i="4"/>
  <c r="F96" i="4"/>
  <c r="D56" i="4"/>
  <c r="D33" i="2"/>
  <c r="C43" i="1"/>
  <c r="C40" i="1"/>
  <c r="C39" i="1"/>
  <c r="C37" i="1"/>
  <c r="C36" i="1"/>
  <c r="C33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<sst xmlns="http://schemas.openxmlformats.org/spreadsheetml/2006/main" count="390" uniqueCount="269">
  <si>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</si>
  <si>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</si>
  <si>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</si>
  <si>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</si>
  <si>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</si>
  <si>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</si>
  <si>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</si>
  <si>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</si>
  <si>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</si>
  <si>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</si>
  <si>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</si>
  <si>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</si>
  <si>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</si>
  <si>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</si>
  <si>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</si>
  <si>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</si>
  <si>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</si>
  <si>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</si>
  <si>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</si>
  <si>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</si>
  <si>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</si>
  <si>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</si>
  <si>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</si>
  <si>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</si>
  <si>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</si>
  <si>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</si>
  <si>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</si>
  <si>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</si>
  <si>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</si>
  <si>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</si>
  <si>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</si>
  <si>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</si>
  <si>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</si>
  <si>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</si>
  <si>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</si>
  <si>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</si>
  <si>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</si>
  <si>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</si>
  <si>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</si>
  <si>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</si>
  <si>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</si>
  <si>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</si>
  <si>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</si>
  <si>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</si>
  <si>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</si>
  <si>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</si>
  <si>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</si>
  <si>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</si>
  <si>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</si>
  <si>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</si>
  <si>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</si>
  <si>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</si>
  <si>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</si>
  <si>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</si>
  <si>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</si>
  <si>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</si>
  <si>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</si>
  <si>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</si>
  <si>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</si>
  <si>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</si>
  <si>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</si>
  <si>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</si>
  <si>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</si>
  <si>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</si>
  <si>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</si>
  <si>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</si>
  <si>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</si>
  <si>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</si>
  <si>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</si>
  <si>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</si>
  <si>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</si>
  <si>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</si>
  <si>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</si>
  <si>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</si>
  <si>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</si>
  <si>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</si>
  <si>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</si>
  <si>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</si>
  <si>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</si>
  <si>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</si>
  <si>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</si>
  <si>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</si>
  <si>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</si>
  <si>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</si>
  <si>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</si>
  <si>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</si>
  <si>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</si>
  <si>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</si>
  <si>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</si>
  <si>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</si>
  <si>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</si>
  <si>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</si>
  <si>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</si>
  <si>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</si>
  <si>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</si>
  <si>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</si>
  <si>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</si>
  <si>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</si>
  <si>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</si>
  <si>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</si>
  <si>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</si>
  <si>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</si>
  <si>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</si>
  <si>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</si>
  <si>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</si>
  <si>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</si>
  <si>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</si>
  <si>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</si>
  <si>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</si>
  <si>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</si>
  <si>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</si>
  <si>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</si>
  <si>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</si>
  <si>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</si>
  <si>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</si>
  <si>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</si>
  <si>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</si>
  <si>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</si>
  <si>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</si>
  <si>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</si>
  <si>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</si>
  <si>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</si>
  <si>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</si>
  <si>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</si>
  <si>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</si>
  <si>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</si>
  <si>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</si>
  <si>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</si>
  <si>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</si>
  <si>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</si>
  <si>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</si>
  <si>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</si>
  <si>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</si>
  <si>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</si>
  <si>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</si>
  <si>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</si>
  <si>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</si>
  <si>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</si>
  <si>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</si>
  <si>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</si>
  <si>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</si>
  <si>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</si>
  <si>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</si>
  <si>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</si>
  <si>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</si>
  <si>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</si>
  <si>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</si>
  <si>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</si>
  <si>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</si>
  <si>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</si>
  <si>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</si>
  <si>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</si>
  <si>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</si>
  <si>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</si>
  <si>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</si>
  <si>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</si>
  <si>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</si>
  <si>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</si>
  <si>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</si>
  <si>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</si>
  <si>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</si>
  <si>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</si>
  <si>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</si>
  <si>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</si>
  <si>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</si>
  <si>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</si>
  <si>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</si>
  <si>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</si>
  <si>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</si>
  <si>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</si>
  <si>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</si>
  <si>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</si>
  <si>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</si>
  <si>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</si>
  <si>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</si>
  <si>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</si>
  <si>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</si>
  <si>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</si>
  <si>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</si>
  <si>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</si>
  <si>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</si>
  <si>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</si>
  <si>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</si>
  <si>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</si>
  <si>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</si>
  <si>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</si>
  <si>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</si>
  <si>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</si>
  <si>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</si>
  <si>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</si>
  <si>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</si>
  <si>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</si>
  <si>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</si>
  <si>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</si>
  <si>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</si>
  <si>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</si>
  <si>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</si>
  <si>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</si>
  <si>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</si>
  <si>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</si>
  <si>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</si>
  <si>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</si>
  <si>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</si>
  <si>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</si>
  <si>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</si>
  <si>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</si>
  <si>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</si>
  <si>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</si>
  <si>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</si>
  <si>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</si>
  <si>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</si>
  <si>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</si>
  <si>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</si>
  <si>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</si>
  <si>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</si>
  <si>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</si>
  <si>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</si>
  <si>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</si>
  <si>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</si>
  <si>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</si>
  <si>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</si>
  <si>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</si>
  <si>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</si>
  <si>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</si>
  <si>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</si>
  <si>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</si>
  <si>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</si>
  <si>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</si>
  <si>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</si>
  <si>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</si>
  <si>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</si>
  <si>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</si>
  <si>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</si>
  <si>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</si>
  <si>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</si>
  <si>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</si>
  <si>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</si>
  <si>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</si>
  <si>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</si>
  <si>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</si>
  <si>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</si>
  <si>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</si>
  <si>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</si>
  <si>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</si>
  <si>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</si>
  <si>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</si>
  <si>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</si>
  <si>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</si>
  <si>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</si>
  <si>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</si>
  <si>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</si>
  <si>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</si>
  <si>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</si>
  <si>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</si>
  <si>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</si>
  <si>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</si>
  <si>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</si>
  <si>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</si>
  <si>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</si>
  <si>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</si>
  <si>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</si>
  <si>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</si>
  <si>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</si>
  <si>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</si>
  <si>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0710.HK</t>
  </si>
  <si>
    <t>京东方精电</t>
  </si>
  <si>
    <t>C0006</t>
  </si>
  <si>
    <t>CNY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</si>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</sst>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264</v>
      </c>
    </row>
    <row r="5" spans="1:4" ht="13.9" x14ac:dyDescent="0.4">
      <c r="B5" s="141" t="s">
        <v>197</v>
      </c>
      <c r="C5" s="192" t="s">
        <v>265</v>
      </c>
    </row>
    <row r="6" spans="1:4" ht="13.9" x14ac:dyDescent="0.4">
      <c r="B6" s="141" t="s">
        <v>164</v>
      </c>
      <c r="C6" s="190">
        <v>45593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266</v>
      </c>
    </row>
    <row r="10" spans="1:4" ht="13.9" x14ac:dyDescent="0.4">
      <c r="B10" s="140" t="s">
        <v>219</v>
      </c>
      <c r="C10" s="194">
        <v>791575204</v>
      </c>
    </row>
    <row r="11" spans="1:4" ht="13.9" x14ac:dyDescent="0.4">
      <c r="B11" s="140" t="s">
        <v>220</v>
      </c>
      <c r="C11" s="193" t="s">
        <v>267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261</v>
      </c>
      <c r="C15" s="177" t="s">
        <v>268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250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262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258</v>
      </c>
      <c r="C45" s="153">
        <f>IF(C44="","",C44*Exchange_Rate/Dashboard!$G$3)</f>
        <v>3.1683023262083235E-2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254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3496104</v>
      </c>
      <c r="D48" s="60">
        <v>0.9</v>
      </c>
      <c r="E48" s="112"/>
    </row>
    <row r="49" spans="2:5" ht="13.9" x14ac:dyDescent="0.4">
      <c r="B49" s="1" t="s">
        <v>136</v>
      </c>
      <c r="C49" s="59">
        <v>41635</v>
      </c>
      <c r="D49" s="60">
        <v>0.8</v>
      </c>
      <c r="E49" s="112"/>
    </row>
    <row r="50" spans="2:5" ht="13.9" x14ac:dyDescent="0.4">
      <c r="B50" s="3" t="s">
        <v>117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405832</v>
      </c>
      <c r="D51" s="60">
        <v>0.6</v>
      </c>
      <c r="E51" s="112"/>
    </row>
    <row r="52" spans="2:5" ht="13.9" x14ac:dyDescent="0.4">
      <c r="B52" s="3" t="s">
        <v>44</v>
      </c>
      <c r="C52" s="59">
        <v>0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0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0</v>
      </c>
      <c r="D64" s="60">
        <v>0.4</v>
      </c>
      <c r="E64" s="112"/>
    </row>
    <row r="65" spans="2:5" ht="13.9" x14ac:dyDescent="0.4">
      <c r="B65" s="3" t="s">
        <v>70</v>
      </c>
      <c r="C65" s="59">
        <v>0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27391</v>
      </c>
      <c r="D70" s="60">
        <v>0.05</v>
      </c>
      <c r="E70" s="112"/>
    </row>
    <row r="71" spans="2:5" ht="13.9" x14ac:dyDescent="0.4">
      <c r="B71" s="3" t="s">
        <v>75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>
        <v>174488</v>
      </c>
    </row>
    <row r="74" spans="2:5" ht="13.9" x14ac:dyDescent="0.4">
      <c r="B74" s="3" t="s">
        <v>40</v>
      </c>
      <c r="C74" s="59">
        <v>11884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5753095</v>
      </c>
    </row>
    <row r="78" spans="2:5" ht="14.25" thickTop="1" x14ac:dyDescent="0.4">
      <c r="B78" s="3" t="s">
        <v>62</v>
      </c>
      <c r="C78" s="59">
        <v>432202</v>
      </c>
    </row>
    <row r="79" spans="2:5" ht="13.9" x14ac:dyDescent="0.4">
      <c r="B79" s="3" t="s">
        <v>64</v>
      </c>
      <c r="C79" s="59">
        <v>17265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638511</v>
      </c>
    </row>
    <row r="83" spans="2:8" ht="14.25" thickTop="1" x14ac:dyDescent="0.4">
      <c r="B83" s="73" t="s">
        <v>222</v>
      </c>
      <c r="C83" s="59">
        <v>4357429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255</v>
      </c>
      <c r="C86" s="198">
        <v>5</v>
      </c>
    </row>
    <row r="87" spans="2:8" ht="13.9" x14ac:dyDescent="0.4">
      <c r="B87" s="10" t="s">
        <v>253</v>
      </c>
      <c r="C87" s="237" t="s">
        <v>256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106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252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262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251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209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0710.HK</v>
      </c>
      <c r="D3" s="275"/>
      <c r="E3" s="87"/>
      <c r="F3" s="3" t="s">
        <v>1</v>
      </c>
      <c r="G3" s="132">
        <v>5.36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京东方精电</v>
      </c>
      <c r="D4" s="277"/>
      <c r="E4" s="87"/>
      <c r="F4" s="3" t="s">
        <v>3</v>
      </c>
      <c r="G4" s="280">
        <f>Inputs!C10</f>
        <v>791575204</v>
      </c>
      <c r="H4" s="280"/>
      <c r="I4" s="39"/>
    </row>
    <row r="5" spans="1:10" ht="15.75" customHeight="1" x14ac:dyDescent="0.4">
      <c r="B5" s="3" t="s">
        <v>164</v>
      </c>
      <c r="C5" s="278">
        <f>Inputs!C6</f>
        <v>45593</v>
      </c>
      <c r="D5" s="279"/>
      <c r="E5" s="34"/>
      <c r="F5" s="35" t="s">
        <v>100</v>
      </c>
      <c r="G5" s="272">
        <f>G3*G4/1000000</f>
        <v>4242.8430934400003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C0006</v>
      </c>
      <c r="E7" s="87"/>
      <c r="F7" s="35" t="s">
        <v>6</v>
      </c>
      <c r="G7" s="133">
        <v>1.0734576781590779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259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260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0.8649634921177769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7.2128562067984476E-4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0.89487452961039748</v>
      </c>
    </row>
    <row r="24" spans="1:8" ht="15.75" customHeight="1" x14ac:dyDescent="0.4">
      <c r="B24" s="137" t="s">
        <v>171</v>
      </c>
      <c r="C24" s="172">
        <f>Fin_Analysis!I81</f>
        <v>2.3437755566327548E-3</v>
      </c>
      <c r="F24" s="140" t="s">
        <v>176</v>
      </c>
      <c r="G24" s="179">
        <f>(Fin_Analysis!H86*G7)/G3</f>
        <v>-9.3152968848614598E-2</v>
      </c>
    </row>
    <row r="25" spans="1:8" ht="15.75" customHeight="1" x14ac:dyDescent="0.4">
      <c r="B25" s="137" t="s">
        <v>248</v>
      </c>
      <c r="C25" s="172">
        <f>Fin_Analysis!I82</f>
        <v>2.8284501268352451E-2</v>
      </c>
      <c r="F25" s="140" t="s">
        <v>175</v>
      </c>
      <c r="G25" s="172">
        <f>Fin_Analysis!I88</f>
        <v>-0.3401182340583494</v>
      </c>
    </row>
    <row r="26" spans="1:8" ht="15.75" customHeight="1" x14ac:dyDescent="0.4">
      <c r="B26" s="138" t="s">
        <v>174</v>
      </c>
      <c r="C26" s="172">
        <f>Fin_Analysis!I83</f>
        <v>-4.5622430706520396E-2</v>
      </c>
      <c r="F26" s="141" t="s">
        <v>195</v>
      </c>
      <c r="G26" s="179">
        <f>Fin_Analysis!H88*Exchange_Rate/G3</f>
        <v>3.1683023262083235E-2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263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1">
        <f>IF(Fin_Analysis!C108="Profit",Fin_Analysis!I100,IF(Fin_Analysis!C108="Dividend",Fin_Analysis!I103,Fin_Analysis!I106))</f>
        <v>0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unclear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262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4357429</v>
      </c>
      <c r="K3" s="24"/>
    </row>
    <row r="4" spans="1:11" ht="15" customHeight="1" x14ac:dyDescent="0.4">
      <c r="B4" s="3" t="s">
        <v>25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1.4900249344048726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-166157.4546478613</v>
      </c>
      <c r="E6" s="56">
        <f>1-D6/D3</f>
        <v>1.0376192327080107</v>
      </c>
      <c r="F6" s="87"/>
      <c r="G6" s="87"/>
      <c r="H6" s="1" t="s">
        <v>30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39</v>
      </c>
      <c r="I11" s="40">
        <f>Inputs!C73</f>
        <v>174488</v>
      </c>
      <c r="J11" s="87"/>
      <c r="K11" s="24"/>
    </row>
    <row r="12" spans="1:11" ht="13.9" x14ac:dyDescent="0.4">
      <c r="B12" s="1" t="s">
        <v>136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40</v>
      </c>
      <c r="I12" s="40">
        <f>Inputs!C74</f>
        <v>11884</v>
      </c>
      <c r="J12" s="87"/>
      <c r="K12" s="24"/>
    </row>
    <row r="13" spans="1:11" ht="13.9" x14ac:dyDescent="0.4">
      <c r="B13" s="3" t="s">
        <v>117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186372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56</v>
      </c>
      <c r="I25" s="63">
        <f>E28/I28</f>
        <v>1.046728865071757</v>
      </c>
    </row>
    <row r="26" spans="2:10" ht="15" customHeight="1" x14ac:dyDescent="0.4">
      <c r="B26" s="23" t="s">
        <v>57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58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60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16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432202</v>
      </c>
      <c r="J30" s="87"/>
    </row>
    <row r="31" spans="2:10" ht="15" customHeight="1" x14ac:dyDescent="0.4">
      <c r="B31" s="3" t="s">
        <v>63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64</v>
      </c>
      <c r="I31" s="40">
        <f>Inputs!C79</f>
        <v>17265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449467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81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83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85</v>
      </c>
      <c r="I48" s="208">
        <f>Inputs!C82</f>
        <v>638511</v>
      </c>
      <c r="J48" s="8"/>
    </row>
    <row r="49" spans="2:11" ht="15" customHeight="1" thickTop="1" x14ac:dyDescent="0.4">
      <c r="B49" s="3" t="s">
        <v>14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86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635839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106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96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252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173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237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262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251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126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161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-9.3152968848614598E-2</v>
      </c>
      <c r="D87" s="210"/>
      <c r="E87" s="263">
        <f>E86*Exchange_Rate/Dashboard!G3</f>
        <v>-9.3152968848614598E-2</v>
      </c>
      <c r="F87" s="210"/>
      <c r="H87" s="263">
        <f>H86*Exchange_Rate/Dashboard!G3</f>
        <v>-9.3152968848614598E-2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223</v>
      </c>
      <c r="C89" s="262">
        <f>C88*Exchange_Rate/Dashboard!G3</f>
        <v>3.1683023262083235E-2</v>
      </c>
      <c r="D89" s="210"/>
      <c r="E89" s="262">
        <f>E88*Exchange_Rate/Dashboard!G3</f>
        <v>3.1683023262083235E-2</v>
      </c>
      <c r="F89" s="210"/>
      <c r="H89" s="262">
        <f>H88*Exchange_Rate/Dashboard!G3</f>
        <v>3.1683023262083235E-2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-4.2530371050136164</v>
      </c>
      <c r="H93" s="87" t="s">
        <v>211</v>
      </c>
      <c r="I93" s="144">
        <f>FV(H87,D93,0,-(H86/C93))*Exchange_Rate</f>
        <v>-4.2530371050136164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2.756705229213861</v>
      </c>
      <c r="H94" s="87" t="s">
        <v>212</v>
      </c>
      <c r="I94" s="144">
        <f>FV(H89,D93,0,-(H88/C93))*Exchange_Rate</f>
        <v>2.756705229213861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-1673794.5576962442</v>
      </c>
      <c r="D97" s="214"/>
      <c r="E97" s="123">
        <f>PV(C94,D93,0,-F93)</f>
        <v>-2.11451110297316</v>
      </c>
      <c r="F97" s="214"/>
      <c r="H97" s="123">
        <f>PV(C94,D93,0,-I93)</f>
        <v>-2.11451110297316</v>
      </c>
      <c r="I97" s="123">
        <f>PV(C93,D93,0,-I93)</f>
        <v>-3.0041751188427277</v>
      </c>
      <c r="K97" s="24"/>
    </row>
    <row r="98" spans="2:11" ht="15" customHeight="1" x14ac:dyDescent="0.4">
      <c r="B98" s="28" t="s">
        <v>145</v>
      </c>
      <c r="C98" s="91">
        <f>E53*Exchange_Rate</f>
        <v>63755.871878902115</v>
      </c>
      <c r="D98" s="214"/>
      <c r="E98" s="214"/>
      <c r="F98" s="214"/>
      <c r="H98" s="123">
        <f>C98*Data!$C$4/Common_Shares</f>
        <v>8.0543038180996521E-2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-1737550.4295751464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1084908.994655048</v>
      </c>
      <c r="D103" s="109">
        <f>MIN(F103*(1-C94),E103)</f>
        <v>1.1649842501342305</v>
      </c>
      <c r="E103" s="123">
        <f>PV(C94,D93,0,-F94)</f>
        <v>1.3705697060402713</v>
      </c>
      <c r="F103" s="109">
        <f>(E103+H103)/2</f>
        <v>1.3705697060402713</v>
      </c>
      <c r="H103" s="123">
        <f>PV(C94,D93,0,-I94)</f>
        <v>1.3705697060402713</v>
      </c>
      <c r="I103" s="109">
        <f>PV(C93,D93,0,-I94)</f>
        <v>1.9472261950936836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542454.497327524</v>
      </c>
      <c r="D106" s="109">
        <f>(D100+D103)/2</f>
        <v>0.58249212506711523</v>
      </c>
      <c r="E106" s="123">
        <f>(E100+E103)/2</f>
        <v>0.68528485302013564</v>
      </c>
      <c r="F106" s="109">
        <f>(F100+F103)/2</f>
        <v>0.68528485302013564</v>
      </c>
      <c r="H106" s="123">
        <f>(H100+H103)/2</f>
        <v>0.68528485302013564</v>
      </c>
      <c r="I106" s="123">
        <f>(I100+I103)/2</f>
        <v>0.97361309754684178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