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5610C2-716A-4677-8831-4C5A23323AD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5" i="4"/>
  <c r="F96" i="4"/>
  <c r="E92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<sst xmlns="http://schemas.openxmlformats.org/spreadsheetml/2006/main" count="390" uniqueCount="269">
  <si>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</si>
  <si>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</si>
  <si>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</si>
  <si>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</si>
  <si>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</si>
  <si>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</si>
  <si>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</si>
  <si>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</si>
  <si>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</si>
  <si>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</si>
  <si>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</si>
  <si>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</si>
  <si>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</si>
  <si>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</si>
  <si>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</si>
  <si>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</si>
  <si>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</si>
  <si>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</si>
  <si>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</si>
  <si>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</si>
  <si>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</si>
  <si>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</si>
  <si>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</si>
  <si>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</si>
  <si>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</si>
  <si>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</si>
  <si>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</si>
  <si>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</si>
  <si>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</si>
  <si>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</si>
  <si>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</si>
  <si>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</si>
  <si>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</si>
  <si>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</si>
  <si>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</si>
  <si>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</si>
  <si>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</si>
  <si>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</si>
  <si>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</si>
  <si>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</si>
  <si>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</si>
  <si>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</si>
  <si>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</si>
  <si>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</si>
  <si>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</si>
  <si>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</si>
  <si>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</si>
  <si>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</si>
  <si>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</si>
  <si>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</si>
  <si>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</si>
  <si>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</si>
  <si>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</si>
  <si>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</si>
  <si>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</si>
  <si>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</si>
  <si>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</si>
  <si>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</si>
  <si>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</si>
  <si>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</si>
  <si>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</si>
  <si>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</si>
  <si>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</si>
  <si>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</si>
  <si>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</si>
  <si>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</si>
  <si>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</si>
  <si>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</si>
  <si>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</si>
  <si>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</si>
  <si>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</si>
  <si>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</si>
  <si>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</si>
  <si>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</si>
  <si>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</si>
  <si>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</si>
  <si>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</si>
  <si>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</si>
  <si>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</si>
  <si>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</si>
  <si>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</si>
  <si>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</si>
  <si>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</si>
  <si>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</si>
  <si>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</si>
  <si>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</si>
  <si>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</si>
  <si>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</si>
  <si>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</si>
  <si>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</si>
  <si>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</si>
  <si>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</si>
  <si>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</si>
  <si>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</si>
  <si>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</si>
  <si>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</si>
  <si>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</si>
  <si>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</si>
  <si>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</si>
  <si>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</si>
  <si>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</si>
  <si>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</si>
  <si>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</si>
  <si>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</si>
  <si>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</si>
  <si>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</si>
  <si>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</si>
  <si>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</si>
  <si>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</si>
  <si>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</si>
  <si>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</si>
  <si>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</si>
  <si>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</si>
  <si>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</si>
  <si>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</si>
  <si>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</si>
  <si>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</si>
  <si>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</si>
  <si>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</si>
  <si>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</si>
  <si>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</si>
  <si>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</si>
  <si>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</si>
  <si>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</si>
  <si>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</si>
  <si>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</si>
  <si>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</si>
  <si>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</si>
  <si>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</si>
  <si>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</si>
  <si>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</si>
  <si>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</si>
  <si>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</si>
  <si>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</si>
  <si>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</si>
  <si>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</si>
  <si>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</si>
  <si>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</si>
  <si>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</si>
  <si>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</si>
  <si>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</si>
  <si>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</si>
  <si>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</si>
  <si>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</si>
  <si>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</si>
  <si>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</si>
  <si>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</si>
  <si>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</si>
  <si>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</si>
  <si>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</si>
  <si>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</si>
  <si>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</si>
  <si>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</si>
  <si>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</si>
  <si>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</si>
  <si>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</si>
  <si>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</si>
  <si>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</si>
  <si>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</si>
  <si>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</si>
  <si>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</si>
  <si>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</si>
  <si>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</si>
  <si>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</si>
  <si>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</si>
  <si>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</si>
  <si>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</si>
  <si>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</si>
  <si>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</si>
  <si>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</si>
  <si>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</si>
  <si>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</si>
  <si>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</si>
  <si>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</si>
  <si>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</si>
  <si>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</si>
  <si>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</si>
  <si>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</si>
  <si>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</si>
  <si>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</si>
  <si>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</si>
  <si>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</si>
  <si>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</si>
  <si>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</si>
  <si>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</si>
  <si>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</si>
  <si>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</si>
  <si>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</si>
  <si>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</si>
  <si>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</si>
  <si>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</si>
  <si>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</si>
  <si>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</si>
  <si>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</si>
  <si>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</si>
  <si>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</si>
  <si>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</si>
  <si>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</si>
  <si>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</si>
  <si>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</si>
  <si>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</si>
  <si>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</si>
  <si>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</si>
  <si>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</si>
  <si>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</si>
  <si>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</si>
  <si>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</si>
  <si>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</si>
  <si>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</si>
  <si>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</si>
  <si>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</si>
  <si>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</si>
  <si>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</si>
  <si>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</si>
  <si>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</si>
  <si>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</si>
  <si>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</si>
  <si>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</si>
  <si>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</si>
  <si>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</si>
  <si>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</si>
  <si>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</si>
  <si>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</si>
  <si>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</si>
  <si>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</si>
  <si>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</si>
  <si>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</si>
  <si>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</si>
  <si>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</si>
  <si>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</si>
  <si>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</si>
  <si>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</si>
  <si>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</si>
  <si>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</si>
  <si>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</si>
  <si>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</si>
  <si>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</si>
  <si>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</si>
  <si>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</si>
  <si>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</si>
  <si>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</si>
  <si>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</si>
  <si>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</si>
  <si>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</si>
  <si>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</si>
  <si>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</si>
  <si>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</si>
  <si>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</si>
  <si>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</si>
  <si>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</si>
  <si>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</si>
  <si>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</si>
  <si>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</si>
  <si>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</si>
  <si>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</si>
  <si>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</si>
  <si>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</si>
  <si>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</si>
  <si>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</si>
  <si>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</si>
  <si>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</si>
  <si>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</si>
  <si>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</si>
  <si>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0811.HK</t>
  </si>
  <si>
    <t>新华文轩</t>
  </si>
  <si>
    <t>C0012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</si>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</sst>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263</v>
      </c>
    </row>
    <row r="5" spans="1:4" ht="13.9" x14ac:dyDescent="0.4">
      <c r="B5" s="141" t="s">
        <v>197</v>
      </c>
      <c r="C5" s="192" t="s">
        <v>264</v>
      </c>
    </row>
    <row r="6" spans="1:4" ht="13.9" x14ac:dyDescent="0.4">
      <c r="B6" s="141" t="s">
        <v>164</v>
      </c>
      <c r="C6" s="190">
        <v>45604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265</v>
      </c>
    </row>
    <row r="10" spans="1:4" ht="13.9" x14ac:dyDescent="0.4">
      <c r="B10" s="140" t="s">
        <v>219</v>
      </c>
      <c r="C10" s="194">
        <v>1233841000</v>
      </c>
    </row>
    <row r="11" spans="1:4" ht="13.9" x14ac:dyDescent="0.4">
      <c r="B11" s="140" t="s">
        <v>220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235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6.7091104884942382E-2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106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252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261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209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0811.HK</v>
      </c>
      <c r="D3" s="275"/>
      <c r="E3" s="87"/>
      <c r="F3" s="3" t="s">
        <v>1</v>
      </c>
      <c r="G3" s="132">
        <v>9.44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新华文轩</v>
      </c>
      <c r="D4" s="277"/>
      <c r="E4" s="87"/>
      <c r="F4" s="3" t="s">
        <v>3</v>
      </c>
      <c r="G4" s="280">
        <f>Inputs!C10</f>
        <v>1233841000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45604</v>
      </c>
      <c r="D5" s="279"/>
      <c r="E5" s="34"/>
      <c r="F5" s="35" t="s">
        <v>100</v>
      </c>
      <c r="G5" s="272">
        <f>G3*G4/1000000</f>
        <v>11647.45904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C0012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0.6223905170283478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5.5277235668845723E-3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1.5061272402478966E-3</v>
      </c>
      <c r="F24" s="140" t="s">
        <v>176</v>
      </c>
      <c r="G24" s="179">
        <f>(Fin_Analysis!H86*G7)/G3</f>
        <v>9.3833074991227255E-2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0.71500486253077544</v>
      </c>
    </row>
    <row r="26" spans="1:8" ht="15.75" customHeight="1" x14ac:dyDescent="0.4">
      <c r="B26" s="138" t="s">
        <v>174</v>
      </c>
      <c r="C26" s="172">
        <f>Fin_Analysis!I83</f>
        <v>0.11437878179622009</v>
      </c>
      <c r="F26" s="141" t="s">
        <v>195</v>
      </c>
      <c r="G26" s="179">
        <f>Fin_Analysis!H88*Exchange_Rate/G3</f>
        <v>6.7091104884942382E-2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262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5.1432977225922416</v>
      </c>
      <c r="D29" s="129">
        <f>G29*(1+G20)</f>
        <v>9.8863470999370531</v>
      </c>
      <c r="E29" s="87"/>
      <c r="F29" s="131">
        <f>IF(Fin_Analysis!C108="Profit",Fin_Analysis!F100,IF(Fin_Analysis!C108="Dividend",Fin_Analysis!F103,Fin_Analysis!F106))</f>
        <v>6.0509384971673432</v>
      </c>
      <c r="G29" s="271">
        <f>IF(Fin_Analysis!C108="Profit",Fin_Analysis!I100,IF(Fin_Analysis!C108="Dividend",Fin_Analysis!I103,Fin_Analysis!I106))</f>
        <v>8.596823565162655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106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96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173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237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161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9.3833074991227255E-2</v>
      </c>
      <c r="D87" s="210"/>
      <c r="E87" s="263">
        <f>E86*Exchange_Rate/Dashboard!G3</f>
        <v>9.3833074991227255E-2</v>
      </c>
      <c r="F87" s="210"/>
      <c r="H87" s="263">
        <f>H86*Exchange_Rate/Dashboard!G3</f>
        <v>9.3833074991227255E-2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223</v>
      </c>
      <c r="C89" s="262">
        <f>C88*Exchange_Rate/Dashboard!G3</f>
        <v>6.7091104884942382E-2</v>
      </c>
      <c r="D89" s="210"/>
      <c r="E89" s="262">
        <f>E88*Exchange_Rate/Dashboard!G3</f>
        <v>6.7091104884942382E-2</v>
      </c>
      <c r="F89" s="210"/>
      <c r="H89" s="262">
        <f>H88*Exchange_Rate/Dashboard!G3</f>
        <v>6.7091104884942382E-2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19.264187789006243</v>
      </c>
      <c r="H93" s="87" t="s">
        <v>211</v>
      </c>
      <c r="I93" s="144">
        <f>FV(H87,D93,0,-(H86/C93))*Exchange_Rate</f>
        <v>19.264187789006243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12.17059863739798</v>
      </c>
      <c r="H94" s="87" t="s">
        <v>212</v>
      </c>
      <c r="I94" s="144">
        <f>FV(H89,D93,0,-(H88/C93))*Exchange_Rate</f>
        <v>12.17059863739798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11817366340.246447</v>
      </c>
      <c r="D97" s="214"/>
      <c r="E97" s="123">
        <f>PV(C94,D93,0,-F93)</f>
        <v>9.5777059931113051</v>
      </c>
      <c r="F97" s="214"/>
      <c r="H97" s="123">
        <f>PV(C94,D93,0,-I93)</f>
        <v>9.5777059931113051</v>
      </c>
      <c r="I97" s="123">
        <f>PV(C93,D93,0,-I93)</f>
        <v>13.607450913659774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11817366340.246447</v>
      </c>
      <c r="D100" s="109">
        <f>MIN(F100*(1-C94),E100)</f>
        <v>8.1410500941446085</v>
      </c>
      <c r="E100" s="109">
        <f>MAX(E97-H98+E99,0)</f>
        <v>9.5777059931113051</v>
      </c>
      <c r="F100" s="109">
        <f>(E100+H100)/2</f>
        <v>9.5777059931113051</v>
      </c>
      <c r="H100" s="109">
        <f>MAX(C100*Data!$C$4/Common_Shares,0)</f>
        <v>9.5777059931113051</v>
      </c>
      <c r="I100" s="109">
        <f>MAX(I97-H98+H99,0)</f>
        <v>13.607450913659774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7465896006.283452</v>
      </c>
      <c r="D103" s="109">
        <f>MIN(F103*(1-C94),E103)</f>
        <v>5.1432977225922416</v>
      </c>
      <c r="E103" s="123">
        <f>PV(C94,D93,0,-F94)</f>
        <v>6.0509384971673432</v>
      </c>
      <c r="F103" s="109">
        <f>(E103+H103)/2</f>
        <v>6.0509384971673432</v>
      </c>
      <c r="H103" s="123">
        <f>PV(C94,D93,0,-I94)</f>
        <v>6.0509384971673432</v>
      </c>
      <c r="I103" s="109">
        <f>PV(C93,D93,0,-I94)</f>
        <v>8.596823565162655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9641631173.2649498</v>
      </c>
      <c r="D106" s="109">
        <f>(D100+D103)/2</f>
        <v>6.6421739083684255</v>
      </c>
      <c r="E106" s="123">
        <f>(E100+E103)/2</f>
        <v>7.8143222451393246</v>
      </c>
      <c r="F106" s="109">
        <f>(F100+F103)/2</f>
        <v>7.8143222451393246</v>
      </c>
      <c r="H106" s="123">
        <f>(H100+H103)/2</f>
        <v>7.8143222451393246</v>
      </c>
      <c r="I106" s="123">
        <f>(I100+I103)/2</f>
        <v>11.102137239411213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