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8A3D1F-DB27-4F1F-B71F-CC406E9111C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F92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<sst xmlns="http://schemas.openxmlformats.org/spreadsheetml/2006/main" count="390" uniqueCount="269">
  <si>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</si>
  <si>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</si>
  <si>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</si>
  <si>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</si>
  <si>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</si>
  <si>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</si>
  <si>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</si>
  <si>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</si>
  <si>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</si>
  <si>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</si>
  <si>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</si>
  <si>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</si>
  <si>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</si>
  <si>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</si>
  <si>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</si>
  <si>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</si>
  <si>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</si>
  <si>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</si>
  <si>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</si>
  <si>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</si>
  <si>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</si>
  <si>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</si>
  <si>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</si>
  <si>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</si>
  <si>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</si>
  <si>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</si>
  <si>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</si>
  <si>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</si>
  <si>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</si>
  <si>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</si>
  <si>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</si>
  <si>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</si>
  <si>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</si>
  <si>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</si>
  <si>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</si>
  <si>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</si>
  <si>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</si>
  <si>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</si>
  <si>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</si>
  <si>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</si>
  <si>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</si>
  <si>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</si>
  <si>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</si>
  <si>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</si>
  <si>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</si>
  <si>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</si>
  <si>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</si>
  <si>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</si>
  <si>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</si>
  <si>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</si>
  <si>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</si>
  <si>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</si>
  <si>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</si>
  <si>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</si>
  <si>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</si>
  <si>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</si>
  <si>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</si>
  <si>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</si>
  <si>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</si>
  <si>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</si>
  <si>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</si>
  <si>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</si>
  <si>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</si>
  <si>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</si>
  <si>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</si>
  <si>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</si>
  <si>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</si>
  <si>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</si>
  <si>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</si>
  <si>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</si>
  <si>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</si>
  <si>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</si>
  <si>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</si>
  <si>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</si>
  <si>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</si>
  <si>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</si>
  <si>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</si>
  <si>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</si>
  <si>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</si>
  <si>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</si>
  <si>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</si>
  <si>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</si>
  <si>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</si>
  <si>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</si>
  <si>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</si>
  <si>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</si>
  <si>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</si>
  <si>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</si>
  <si>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</si>
  <si>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</si>
  <si>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</si>
  <si>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</si>
  <si>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</si>
  <si>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</si>
  <si>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</si>
  <si>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</si>
  <si>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</si>
  <si>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</si>
  <si>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</si>
  <si>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</si>
  <si>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</si>
  <si>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</si>
  <si>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</si>
  <si>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</si>
  <si>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</si>
  <si>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</si>
  <si>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</si>
  <si>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</si>
  <si>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</si>
  <si>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</si>
  <si>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</si>
  <si>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</si>
  <si>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</si>
  <si>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</si>
  <si>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</si>
  <si>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</si>
  <si>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</si>
  <si>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</si>
  <si>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</si>
  <si>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</si>
  <si>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</si>
  <si>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</si>
  <si>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</si>
  <si>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</si>
  <si>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</si>
  <si>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</si>
  <si>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</si>
  <si>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</si>
  <si>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</si>
  <si>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</si>
  <si>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</si>
  <si>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</si>
  <si>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</si>
  <si>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</si>
  <si>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</si>
  <si>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</si>
  <si>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</si>
  <si>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</si>
  <si>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</si>
  <si>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</si>
  <si>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</si>
  <si>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</si>
  <si>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</si>
  <si>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</si>
  <si>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</si>
  <si>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</si>
  <si>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</si>
  <si>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</si>
  <si>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</si>
  <si>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</si>
  <si>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</si>
  <si>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</si>
  <si>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</si>
  <si>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</si>
  <si>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</si>
  <si>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</si>
  <si>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</si>
  <si>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</si>
  <si>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</si>
  <si>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</si>
  <si>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</si>
  <si>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</si>
  <si>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</si>
  <si>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</si>
  <si>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</si>
  <si>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</si>
  <si>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</si>
  <si>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</si>
  <si>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</si>
  <si>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</si>
  <si>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</si>
  <si>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</si>
  <si>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</si>
  <si>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</si>
  <si>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</si>
  <si>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</si>
  <si>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</si>
  <si>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</si>
  <si>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</si>
  <si>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</si>
  <si>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</si>
  <si>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</si>
  <si>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</si>
  <si>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</si>
  <si>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</si>
  <si>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</si>
  <si>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</si>
  <si>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</si>
  <si>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</si>
  <si>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</si>
  <si>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</si>
  <si>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</si>
  <si>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</si>
  <si>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</si>
  <si>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</si>
  <si>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</si>
  <si>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</si>
  <si>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</si>
  <si>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</si>
  <si>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</si>
  <si>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</si>
  <si>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</si>
  <si>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</si>
  <si>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</si>
  <si>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</si>
  <si>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</si>
  <si>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</si>
  <si>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</si>
  <si>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</si>
  <si>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</si>
  <si>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</si>
  <si>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</si>
  <si>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</si>
  <si>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</si>
  <si>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</si>
  <si>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</si>
  <si>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</si>
  <si>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</si>
  <si>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</si>
  <si>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</si>
  <si>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</si>
  <si>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</si>
  <si>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</si>
  <si>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</si>
  <si>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</si>
  <si>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</si>
  <si>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</si>
  <si>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</si>
  <si>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</si>
  <si>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</si>
  <si>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</si>
  <si>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</si>
  <si>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</si>
  <si>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</si>
  <si>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</si>
  <si>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</si>
  <si>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</si>
  <si>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</si>
  <si>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</si>
  <si>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</si>
  <si>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</si>
  <si>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</si>
  <si>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</si>
  <si>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</si>
  <si>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</si>
  <si>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</si>
  <si>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</si>
  <si>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</si>
  <si>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</si>
  <si>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</si>
  <si>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</si>
  <si>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</si>
  <si>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</si>
  <si>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</si>
  <si>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</si>
  <si>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</si>
  <si>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</si>
  <si>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</si>
  <si>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</si>
  <si>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</si>
  <si>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</si>
  <si>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</si>
  <si>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</si>
  <si>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1766.HK</t>
  </si>
  <si>
    <t>中国中车</t>
  </si>
  <si>
    <t>C0004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</si>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</sst>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28698864088</v>
      </c>
    </row>
    <row r="11" spans="1:4" ht="13.9" x14ac:dyDescent="0.4">
      <c r="B11" s="140" t="s">
        <v>220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4.6875881142317812E-2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47742240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7768559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44533603</v>
      </c>
      <c r="D54" s="60">
        <v>0.1</v>
      </c>
      <c r="E54" s="112"/>
    </row>
    <row r="55" spans="2:5" ht="13.9" x14ac:dyDescent="0.4">
      <c r="B55" s="3" t="s">
        <v>47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7301425</v>
      </c>
      <c r="D64" s="60">
        <v>0.4</v>
      </c>
      <c r="E64" s="112"/>
    </row>
    <row r="65" spans="2:5" ht="13.9" x14ac:dyDescent="0.4">
      <c r="B65" s="3" t="s">
        <v>70</v>
      </c>
      <c r="C65" s="59">
        <v>21620835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805212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6765810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17178235</v>
      </c>
      <c r="D70" s="60">
        <v>0.05</v>
      </c>
      <c r="E70" s="112"/>
    </row>
    <row r="71" spans="2:5" ht="13.9" x14ac:dyDescent="0.4">
      <c r="B71" s="3" t="s">
        <v>75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37623092</v>
      </c>
      <c r="D72" s="249">
        <v>0</v>
      </c>
      <c r="E72" s="250"/>
    </row>
    <row r="73" spans="2:5" ht="13.9" x14ac:dyDescent="0.4">
      <c r="B73" s="3" t="s">
        <v>39</v>
      </c>
      <c r="C73" s="59">
        <v>12970041</v>
      </c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255569971</v>
      </c>
    </row>
    <row r="78" spans="2:5" ht="14.25" thickTop="1" x14ac:dyDescent="0.4">
      <c r="B78" s="3" t="s">
        <v>62</v>
      </c>
      <c r="C78" s="59">
        <v>6315552</v>
      </c>
    </row>
    <row r="79" spans="2:5" ht="13.9" x14ac:dyDescent="0.4">
      <c r="B79" s="3" t="s">
        <v>64</v>
      </c>
      <c r="C79" s="59">
        <v>1694399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24023311</v>
      </c>
    </row>
    <row r="83" spans="2:8" ht="14.25" thickTop="1" x14ac:dyDescent="0.4">
      <c r="B83" s="73" t="s">
        <v>222</v>
      </c>
      <c r="C83" s="59">
        <v>160389894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106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252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261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251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209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1766.HK</v>
      </c>
      <c r="D3" s="275"/>
      <c r="E3" s="87"/>
      <c r="F3" s="3" t="s">
        <v>1</v>
      </c>
      <c r="G3" s="132">
        <v>4.58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中国中车</v>
      </c>
      <c r="D4" s="277"/>
      <c r="E4" s="87"/>
      <c r="F4" s="3" t="s">
        <v>3</v>
      </c>
      <c r="G4" s="280">
        <f>Inputs!C10</f>
        <v>28698864088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131440.79752304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0.78463553343209413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1.2515926965280349E-5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0.61251693706354315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7.9143102699204701E-2</v>
      </c>
    </row>
    <row r="25" spans="1:8" ht="15.75" customHeight="1" x14ac:dyDescent="0.4">
      <c r="B25" s="137" t="s">
        <v>248</v>
      </c>
      <c r="C25" s="172">
        <f>Fin_Analysis!I82</f>
        <v>8.8200573996119572E-5</v>
      </c>
      <c r="F25" s="140" t="s">
        <v>175</v>
      </c>
      <c r="G25" s="172">
        <f>Fin_Analysis!I88</f>
        <v>0.59229268936393198</v>
      </c>
    </row>
    <row r="26" spans="1:8" ht="15.75" customHeight="1" x14ac:dyDescent="0.4">
      <c r="B26" s="138" t="s">
        <v>174</v>
      </c>
      <c r="C26" s="172">
        <f>Fin_Analysis!I83</f>
        <v>5.5156426590839844E-2</v>
      </c>
      <c r="F26" s="141" t="s">
        <v>195</v>
      </c>
      <c r="G26" s="179">
        <f>Fin_Analysis!H88*Exchange_Rate/G3</f>
        <v>4.6875881142317812E-2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1.5844849599972735</v>
      </c>
      <c r="D29" s="129">
        <f>G29*(1+G20)</f>
        <v>3.0456662503425567</v>
      </c>
      <c r="E29" s="87"/>
      <c r="F29" s="131">
        <f>IF(Fin_Analysis!C108="Profit",Fin_Analysis!F100,IF(Fin_Analysis!C108="Dividend",Fin_Analysis!F103,Fin_Analysis!F106))</f>
        <v>1.8640999529379689</v>
      </c>
      <c r="G29" s="271">
        <f>IF(Fin_Analysis!C108="Profit",Fin_Analysis!I100,IF(Fin_Analysis!C108="Dividend",Fin_Analysis!I103,Fin_Analysis!I106))</f>
        <v>2.6484054350804844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-141288776.55137879</v>
      </c>
      <c r="E6" s="56">
        <f>1-D6/D3</f>
        <v>1.7067739072990378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39</v>
      </c>
      <c r="I11" s="40">
        <f>Inputs!C73</f>
        <v>12970041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16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6315552</v>
      </c>
      <c r="J30" s="87"/>
    </row>
    <row r="31" spans="2:10" ht="15" customHeight="1" x14ac:dyDescent="0.4">
      <c r="B31" s="3" t="s">
        <v>63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64</v>
      </c>
      <c r="I31" s="40">
        <f>Inputs!C79</f>
        <v>1694399</v>
      </c>
      <c r="J31" s="87"/>
    </row>
    <row r="32" spans="2:10" ht="15" customHeight="1" x14ac:dyDescent="0.4">
      <c r="B32" s="3" t="s">
        <v>65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08">
        <f>Inputs!C82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21003076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96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237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251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126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161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7.9143102699204701E-2</v>
      </c>
      <c r="D87" s="210"/>
      <c r="E87" s="263">
        <f>E86*Exchange_Rate/Dashboard!G3</f>
        <v>7.9143102699204701E-2</v>
      </c>
      <c r="F87" s="210"/>
      <c r="H87" s="263">
        <f>H86*Exchange_Rate/Dashboard!G3</f>
        <v>7.9143102699204701E-2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223</v>
      </c>
      <c r="C89" s="262">
        <f>C88*Exchange_Rate/Dashboard!G3</f>
        <v>4.6875881142317812E-2</v>
      </c>
      <c r="D89" s="210"/>
      <c r="E89" s="262">
        <f>E88*Exchange_Rate/Dashboard!G3</f>
        <v>4.6875881142317812E-2</v>
      </c>
      <c r="F89" s="210"/>
      <c r="H89" s="262">
        <f>H88*Exchange_Rate/Dashboard!G3</f>
        <v>4.6875881142317812E-2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7.3678580528263424</v>
      </c>
      <c r="H93" s="87" t="s">
        <v>211</v>
      </c>
      <c r="I93" s="144">
        <f>FV(H87,D93,0,-(H86/C93))*Exchange_Rate</f>
        <v>7.3678580528263424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3.7493708385601945</v>
      </c>
      <c r="H94" s="87" t="s">
        <v>212</v>
      </c>
      <c r="I94" s="144">
        <f>FV(H89,D93,0,-(H88/C93))*Exchange_Rate</f>
        <v>3.7493708385601945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105127601.49805048</v>
      </c>
      <c r="D97" s="214"/>
      <c r="E97" s="123">
        <f>PV(C94,D93,0,-F93)</f>
        <v>3.663127612845416</v>
      </c>
      <c r="F97" s="214"/>
      <c r="H97" s="123">
        <f>PV(C94,D93,0,-I93)</f>
        <v>3.663127612845416</v>
      </c>
      <c r="I97" s="123">
        <f>PV(C93,D93,0,-I93)</f>
        <v>5.2043599185563796</v>
      </c>
      <c r="K97" s="24"/>
    </row>
    <row r="98" spans="2:11" ht="15" customHeight="1" x14ac:dyDescent="0.4">
      <c r="B98" s="28" t="s">
        <v>145</v>
      </c>
      <c r="C98" s="91">
        <f>E53*Exchange_Rate</f>
        <v>42419523.279289365</v>
      </c>
      <c r="D98" s="214"/>
      <c r="E98" s="214"/>
      <c r="F98" s="214"/>
      <c r="H98" s="123">
        <f>C98*Data!$C$4/Common_Shares</f>
        <v>1.4780906710877959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62708078.218761116</v>
      </c>
      <c r="D100" s="109">
        <f>MIN(F100*(1-C94),E100)</f>
        <v>1.8572814004939771</v>
      </c>
      <c r="E100" s="109">
        <f>MAX(E97-H98+E99,0)</f>
        <v>2.1850369417576201</v>
      </c>
      <c r="F100" s="109">
        <f>(E100+H100)/2</f>
        <v>2.1850369417576201</v>
      </c>
      <c r="H100" s="109">
        <f>MAX(C100*Data!$C$4/Common_Shares,0)</f>
        <v>2.1850369417576201</v>
      </c>
      <c r="I100" s="109">
        <f>MAX(I97-H98+H99,0)</f>
        <v>3.7262692474685837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53497551.195813961</v>
      </c>
      <c r="D103" s="109">
        <f>MIN(F103*(1-C94),E103)</f>
        <v>1.5844849599972735</v>
      </c>
      <c r="E103" s="123">
        <f>PV(C94,D93,0,-F94)</f>
        <v>1.8640999529379689</v>
      </c>
      <c r="F103" s="109">
        <f>(E103+H103)/2</f>
        <v>1.8640999529379689</v>
      </c>
      <c r="H103" s="123">
        <f>PV(C94,D93,0,-I94)</f>
        <v>1.8640999529379689</v>
      </c>
      <c r="I103" s="109">
        <f>PV(C93,D93,0,-I94)</f>
        <v>2.6484054350804844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58102814.707287543</v>
      </c>
      <c r="D106" s="109">
        <f>(D100+D103)/2</f>
        <v>1.7208831802456253</v>
      </c>
      <c r="E106" s="123">
        <f>(E100+E103)/2</f>
        <v>2.0245684473477947</v>
      </c>
      <c r="F106" s="109">
        <f>(F100+F103)/2</f>
        <v>2.0245684473477947</v>
      </c>
      <c r="H106" s="123">
        <f>(H100+H103)/2</f>
        <v>2.0245684473477947</v>
      </c>
      <c r="I106" s="123">
        <f>(I100+I103)/2</f>
        <v>3.1873373412745343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