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7E868A1-3ABF-4D9A-82DE-A6D268BB46D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5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6" i="4"/>
  <c r="E92" i="4"/>
  <c r="F97" i="4"/>
  <c r="F92" i="4"/>
  <c r="F93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<sst xmlns="http://schemas.openxmlformats.org/spreadsheetml/2006/main" count="390" uniqueCount="268">
  <si>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</si>
  <si>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</si>
  <si>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</si>
  <si>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</si>
  <si>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</si>
  <si>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</si>
  <si>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</si>
  <si>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</si>
  <si>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</si>
  <si>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</si>
  <si>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</si>
  <si>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</si>
  <si>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</si>
  <si>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</si>
  <si>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</si>
  <si>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</si>
  <si>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</si>
  <si>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</si>
  <si>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</si>
  <si>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</si>
  <si>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</si>
  <si>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</si>
  <si>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</si>
  <si>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</si>
  <si>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</si>
  <si>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</si>
  <si>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</si>
  <si>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</si>
  <si>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</si>
  <si>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</si>
  <si>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</si>
  <si>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</si>
  <si>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</si>
  <si>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</si>
  <si>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</si>
  <si>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</si>
  <si>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</si>
  <si>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</si>
  <si>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</si>
  <si>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</si>
  <si>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</si>
  <si>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</si>
  <si>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</si>
  <si>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</si>
  <si>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</si>
  <si>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</si>
  <si>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</si>
  <si>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</si>
  <si>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</si>
  <si>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</si>
  <si>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</si>
  <si>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</si>
  <si>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</si>
  <si>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</si>
  <si>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</si>
  <si>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</si>
  <si>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</si>
  <si>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</si>
  <si>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</si>
  <si>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</si>
  <si>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</si>
  <si>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</si>
  <si>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</si>
  <si>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</si>
  <si>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</si>
  <si>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</si>
  <si>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</si>
  <si>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</si>
  <si>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</si>
  <si>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</si>
  <si>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</si>
  <si>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</si>
  <si>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</si>
  <si>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</si>
  <si>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</si>
  <si>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</si>
  <si>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</si>
  <si>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</si>
  <si>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</si>
  <si>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</si>
  <si>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</si>
  <si>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</si>
  <si>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</si>
  <si>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</si>
  <si>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</si>
  <si>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</si>
  <si>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</si>
  <si>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</si>
  <si>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</si>
  <si>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</si>
  <si>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</si>
  <si>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</si>
  <si>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</si>
  <si>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</si>
  <si>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</si>
  <si>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</si>
  <si>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</si>
  <si>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</si>
  <si>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</si>
  <si>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</si>
  <si>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</si>
  <si>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</si>
  <si>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</si>
  <si>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</si>
  <si>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</si>
  <si>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</si>
  <si>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</si>
  <si>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</si>
  <si>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</si>
  <si>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</si>
  <si>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</si>
  <si>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</si>
  <si>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</si>
  <si>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</si>
  <si>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</si>
  <si>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</si>
  <si>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</si>
  <si>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</si>
  <si>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</si>
  <si>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</si>
  <si>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</si>
  <si>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</si>
  <si>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</si>
  <si>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</si>
  <si>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</si>
  <si>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</si>
  <si>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</si>
  <si>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</si>
  <si>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</si>
  <si>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</si>
  <si>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</si>
  <si>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</si>
  <si>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</si>
  <si>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</si>
  <si>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</si>
  <si>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</si>
  <si>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</si>
  <si>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</si>
  <si>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</si>
  <si>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</si>
  <si>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</si>
  <si>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</si>
  <si>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</si>
  <si>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</si>
  <si>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</si>
  <si>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</si>
  <si>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</si>
  <si>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</si>
  <si>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</si>
  <si>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</si>
  <si>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</si>
  <si>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</si>
  <si>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</si>
  <si>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</si>
  <si>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</si>
  <si>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</si>
  <si>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</si>
  <si>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</si>
  <si>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</si>
  <si>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</si>
  <si>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</si>
  <si>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</si>
  <si>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</si>
  <si>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</si>
  <si>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</si>
  <si>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</si>
  <si>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</si>
  <si>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</si>
  <si>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</si>
  <si>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</si>
  <si>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</si>
  <si>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</si>
  <si>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</si>
  <si>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</si>
  <si>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</si>
  <si>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</si>
  <si>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</si>
  <si>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</si>
  <si>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</si>
  <si>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</si>
  <si>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</si>
  <si>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</si>
  <si>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</si>
  <si>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</si>
  <si>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</si>
  <si>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</si>
  <si>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</si>
  <si>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</si>
  <si>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</si>
  <si>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</si>
  <si>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</si>
  <si>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</si>
  <si>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</si>
  <si>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</si>
  <si>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</si>
  <si>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</si>
  <si>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</si>
  <si>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</si>
  <si>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</si>
  <si>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</si>
  <si>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</si>
  <si>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</si>
  <si>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</si>
  <si>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</si>
  <si>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</si>
  <si>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</si>
  <si>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</si>
  <si>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</si>
  <si>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</si>
  <si>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</si>
  <si>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</si>
  <si>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</si>
  <si>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</si>
  <si>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</si>
  <si>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</si>
  <si>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</si>
  <si>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</si>
  <si>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</si>
  <si>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</si>
  <si>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</si>
  <si>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</si>
  <si>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</si>
  <si>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</si>
  <si>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</si>
  <si>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</si>
  <si>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</si>
  <si>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</si>
  <si>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</si>
  <si>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</si>
  <si>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</si>
  <si>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</si>
  <si>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</si>
  <si>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</si>
  <si>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</si>
  <si>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</si>
  <si>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</si>
  <si>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</si>
  <si>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</si>
  <si>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</si>
  <si>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</si>
  <si>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</si>
  <si>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</si>
  <si>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</si>
  <si>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</si>
  <si>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</si>
  <si>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</si>
  <si>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</si>
  <si>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</si>
  <si>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</si>
  <si>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</si>
  <si>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</si>
  <si>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</si>
  <si>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</si>
  <si>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</si>
  <si>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</si>
  <si>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</si>
  <si>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</si>
  <si>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</si>
  <si>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</si>
  <si>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</si>
  <si>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</si>
  <si>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</si>
  <si>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3968.HK</t>
  </si>
  <si>
    <t>招商银行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</si>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</sst>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25219845601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6.0481672609420049E-2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106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251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260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209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3968.HK</v>
      </c>
      <c r="D3" s="275"/>
      <c r="E3" s="87"/>
      <c r="F3" s="3" t="s">
        <v>1</v>
      </c>
      <c r="G3" s="132">
        <v>35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招商银行</v>
      </c>
      <c r="D4" s="277"/>
      <c r="E4" s="87"/>
      <c r="F4" s="3" t="s">
        <v>3</v>
      </c>
      <c r="G4" s="280">
        <f>Inputs!C10</f>
        <v>25219845601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45606</v>
      </c>
      <c r="D5" s="279"/>
      <c r="E5" s="34"/>
      <c r="F5" s="35" t="s">
        <v>100</v>
      </c>
      <c r="G5" s="272">
        <f>G3*G4/1000000</f>
        <v>882694.59603500005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1.8627626781429586E-2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3.9962087250557162E-3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0.34356507928375646</v>
      </c>
      <c r="F24" s="140" t="s">
        <v>176</v>
      </c>
      <c r="G24" s="179">
        <f>(Fin_Analysis!H86*G7)/G3</f>
        <v>0.16044867175230934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0.37695340166347946</v>
      </c>
    </row>
    <row r="26" spans="1:8" ht="15.75" customHeight="1" x14ac:dyDescent="0.4">
      <c r="B26" s="138" t="s">
        <v>174</v>
      </c>
      <c r="C26" s="172">
        <f>Fin_Analysis!I83</f>
        <v>0.37552834490355302</v>
      </c>
      <c r="F26" s="141" t="s">
        <v>195</v>
      </c>
      <c r="G26" s="179">
        <f>Fin_Analysis!H88*Exchange_Rate/G3</f>
        <v>6.0481672609420049E-2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16.66498402790198</v>
      </c>
      <c r="D29" s="129">
        <f>G29*(1+G20)</f>
        <v>32.033108989791955</v>
      </c>
      <c r="E29" s="87"/>
      <c r="F29" s="131">
        <f>IF(Fin_Analysis!C108="Profit",Fin_Analysis!F100,IF(Fin_Analysis!C108="Dividend",Fin_Analysis!F103,Fin_Analysis!F106))</f>
        <v>19.605863562237623</v>
      </c>
      <c r="G29" s="271">
        <f>IF(Fin_Analysis!C108="Profit",Fin_Analysis!I100,IF(Fin_Analysis!C108="Dividend",Fin_Analysis!I103,Fin_Analysis!I106))</f>
        <v>27.854877382427791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106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96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173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237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161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0.16044867175230934</v>
      </c>
      <c r="D87" s="210"/>
      <c r="E87" s="263">
        <f>E86*Exchange_Rate/Dashboard!G3</f>
        <v>0.16044867175230934</v>
      </c>
      <c r="F87" s="210"/>
      <c r="H87" s="263">
        <f>H86*Exchange_Rate/Dashboard!G3</f>
        <v>0.16044867175230934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223</v>
      </c>
      <c r="C89" s="262">
        <f>C88*Exchange_Rate/Dashboard!G3</f>
        <v>6.0481672609420049E-2</v>
      </c>
      <c r="D89" s="210"/>
      <c r="E89" s="262">
        <f>E88*Exchange_Rate/Dashboard!G3</f>
        <v>6.0481672609420049E-2</v>
      </c>
      <c r="F89" s="210"/>
      <c r="H89" s="262">
        <f>H88*Exchange_Rate/Dashboard!G3</f>
        <v>6.0481672609420049E-2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164.13505801171038</v>
      </c>
      <c r="H93" s="87" t="s">
        <v>211</v>
      </c>
      <c r="I93" s="144">
        <f>FV(H87,D93,0,-(H86/C93))*Exchange_Rate</f>
        <v>164.13505801171038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39.434394593050982</v>
      </c>
      <c r="H94" s="87" t="s">
        <v>212</v>
      </c>
      <c r="I94" s="144">
        <f>FV(H89,D93,0,-(H88/C93))*Exchange_Rate</f>
        <v>39.434394593050982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2058043.6167638747</v>
      </c>
      <c r="D97" s="214"/>
      <c r="E97" s="123">
        <f>PV(C94,D93,0,-F93)</f>
        <v>81.604132290257581</v>
      </c>
      <c r="F97" s="214"/>
      <c r="H97" s="123">
        <f>PV(C94,D93,0,-I93)</f>
        <v>81.604132290257581</v>
      </c>
      <c r="I97" s="123">
        <f>PV(C93,D93,0,-I93)</f>
        <v>115.93843299117171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2058043.6167638747</v>
      </c>
      <c r="D100" s="109">
        <f>MIN(F100*(1-C94),E100)</f>
        <v>69.363512446718943</v>
      </c>
      <c r="E100" s="109">
        <f>MAX(E97-H98+E99,0)</f>
        <v>81.604132290257581</v>
      </c>
      <c r="F100" s="109">
        <f>(E100+H100)/2</f>
        <v>81.604132290257581</v>
      </c>
      <c r="H100" s="109">
        <f>MAX(C100*Data!$C$4/Common_Shares,0)</f>
        <v>81.604132290257581</v>
      </c>
      <c r="I100" s="109">
        <f>MAX(I97-H98+H99,0)</f>
        <v>115.93843299117171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494456.85191390471</v>
      </c>
      <c r="D103" s="109">
        <f>MIN(F103*(1-C94),E103)</f>
        <v>16.66498402790198</v>
      </c>
      <c r="E103" s="123">
        <f>PV(C94,D93,0,-F94)</f>
        <v>19.605863562237623</v>
      </c>
      <c r="F103" s="109">
        <f>(E103+H103)/2</f>
        <v>19.605863562237623</v>
      </c>
      <c r="H103" s="123">
        <f>PV(C94,D93,0,-I94)</f>
        <v>19.605863562237623</v>
      </c>
      <c r="I103" s="109">
        <f>PV(C93,D93,0,-I94)</f>
        <v>27.854877382427791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1276250.2343388898</v>
      </c>
      <c r="D106" s="109">
        <f>(D100+D103)/2</f>
        <v>43.014248237310461</v>
      </c>
      <c r="E106" s="123">
        <f>(E100+E103)/2</f>
        <v>50.604997926247606</v>
      </c>
      <c r="F106" s="109">
        <f>(F100+F103)/2</f>
        <v>50.604997926247606</v>
      </c>
      <c r="H106" s="123">
        <f>(H100+H103)/2</f>
        <v>50.604997926247606</v>
      </c>
      <c r="I106" s="123">
        <f>(I100+I103)/2</f>
        <v>71.896655186799748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