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127074-03B5-459E-8251-7CAF2302C43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<sst xmlns="http://schemas.openxmlformats.org/spreadsheetml/2006/main" count="390" uniqueCount="267">
  <si>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</si>
  <si>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</si>
  <si>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</si>
  <si>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</si>
  <si>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</si>
  <si>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</si>
  <si>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</si>
  <si>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</si>
  <si>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</si>
  <si>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</si>
  <si>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</si>
  <si>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</si>
  <si>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</si>
  <si>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</si>
  <si>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</si>
  <si>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</si>
  <si>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</si>
  <si>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</si>
  <si>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</si>
  <si>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</si>
  <si>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</si>
  <si>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</si>
  <si>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</si>
  <si>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</si>
  <si>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</si>
  <si>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</si>
  <si>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</si>
  <si>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</si>
  <si>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</si>
  <si>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</si>
  <si>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</si>
  <si>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</si>
  <si>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</si>
  <si>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</si>
  <si>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</si>
  <si>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</si>
  <si>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</si>
  <si>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</si>
  <si>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</si>
  <si>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</si>
  <si>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</si>
  <si>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</si>
  <si>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</si>
  <si>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</si>
  <si>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</si>
  <si>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</si>
  <si>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</si>
  <si>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</si>
  <si>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</si>
  <si>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</si>
  <si>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</si>
  <si>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</si>
  <si>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</si>
  <si>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</si>
  <si>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</si>
  <si>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</si>
  <si>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</si>
  <si>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</si>
  <si>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</si>
  <si>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</si>
  <si>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</si>
  <si>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</si>
  <si>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</si>
  <si>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</si>
  <si>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</si>
  <si>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</si>
  <si>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</si>
  <si>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</si>
  <si>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</si>
  <si>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</si>
  <si>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</si>
  <si>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</si>
  <si>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</si>
  <si>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</si>
  <si>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</si>
  <si>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</si>
  <si>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</si>
  <si>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</si>
  <si>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</si>
  <si>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</si>
  <si>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</si>
  <si>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</si>
  <si>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</si>
  <si>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</si>
  <si>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</si>
  <si>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</si>
  <si>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</si>
  <si>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</si>
  <si>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</si>
  <si>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</si>
  <si>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</si>
  <si>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</si>
  <si>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</si>
  <si>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</si>
  <si>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</si>
  <si>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</si>
  <si>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</si>
  <si>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</si>
  <si>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</si>
  <si>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</si>
  <si>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</si>
  <si>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</si>
  <si>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</si>
  <si>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</si>
  <si>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</si>
  <si>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</si>
  <si>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</si>
  <si>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</si>
  <si>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</si>
  <si>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</si>
  <si>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</si>
  <si>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</si>
  <si>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</si>
  <si>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</si>
  <si>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</si>
  <si>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</si>
  <si>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</si>
  <si>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</si>
  <si>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</si>
  <si>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</si>
  <si>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</si>
  <si>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</si>
  <si>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</si>
  <si>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</si>
  <si>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</si>
  <si>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</si>
  <si>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</si>
  <si>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</si>
  <si>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</si>
  <si>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</si>
  <si>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</si>
  <si>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</si>
  <si>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</si>
  <si>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</si>
  <si>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</si>
  <si>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</si>
  <si>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</si>
  <si>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</si>
  <si>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</si>
  <si>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</si>
  <si>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</si>
  <si>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</si>
  <si>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</si>
  <si>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</si>
  <si>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</si>
  <si>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</si>
  <si>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</si>
  <si>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</si>
  <si>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</si>
  <si>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</si>
  <si>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</si>
  <si>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</si>
  <si>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</si>
  <si>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</si>
  <si>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</si>
  <si>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</si>
  <si>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</si>
  <si>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</si>
  <si>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</si>
  <si>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</si>
  <si>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</si>
  <si>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</si>
  <si>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</si>
  <si>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</si>
  <si>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</si>
  <si>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</si>
  <si>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</si>
  <si>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</si>
  <si>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</si>
  <si>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</si>
  <si>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</si>
  <si>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</si>
  <si>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</si>
  <si>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</si>
  <si>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</si>
  <si>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</si>
  <si>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</si>
  <si>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</si>
  <si>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</si>
  <si>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</si>
  <si>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</si>
  <si>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</si>
  <si>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</si>
  <si>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</si>
  <si>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</si>
  <si>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</si>
  <si>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</si>
  <si>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</si>
  <si>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</si>
  <si>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</si>
  <si>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</si>
  <si>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</si>
  <si>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</si>
  <si>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</si>
  <si>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</si>
  <si>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</si>
  <si>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</si>
  <si>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</si>
  <si>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</si>
  <si>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</si>
  <si>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</si>
  <si>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</si>
  <si>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</si>
  <si>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</si>
  <si>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</si>
  <si>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</si>
  <si>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</si>
  <si>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</si>
  <si>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</si>
  <si>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</si>
  <si>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</si>
  <si>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</si>
  <si>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</si>
  <si>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</si>
  <si>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</si>
  <si>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</si>
  <si>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</si>
  <si>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</si>
  <si>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</si>
  <si>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</si>
  <si>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</si>
  <si>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</si>
  <si>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</si>
  <si>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</si>
  <si>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</si>
  <si>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</si>
  <si>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</si>
  <si>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</si>
  <si>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</si>
  <si>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</si>
  <si>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</si>
  <si>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</si>
  <si>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</si>
  <si>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</si>
  <si>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</si>
  <si>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</si>
  <si>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</si>
  <si>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</si>
  <si>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</si>
  <si>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</si>
  <si>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</si>
  <si>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</si>
  <si>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</si>
  <si>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</si>
  <si>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</si>
  <si>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</si>
  <si>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</si>
  <si>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</si>
  <si>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</si>
  <si>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</si>
  <si>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</si>
  <si>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</si>
  <si>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</si>
  <si>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</si>
  <si>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</si>
  <si>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</si>
  <si>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</si>
  <si>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</si>
  <si>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</si>
  <si>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</si>
  <si>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6601.HK</t>
  </si>
  <si>
    <t>朝云集团</t>
  </si>
  <si>
    <t>C0007</t>
  </si>
  <si>
    <t>CNY</t>
  </si>
  <si>
    <t>CN</t>
  </si>
  <si>
    <t>Unclear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</si>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</sst>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260</v>
      </c>
    </row>
    <row r="5" spans="1:4" ht="13.9" x14ac:dyDescent="0.4">
      <c r="B5" s="141" t="s">
        <v>197</v>
      </c>
      <c r="C5" s="192" t="s">
        <v>261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262</v>
      </c>
    </row>
    <row r="10" spans="1:4" ht="13.9" x14ac:dyDescent="0.4">
      <c r="B10" s="140" t="s">
        <v>219</v>
      </c>
      <c r="C10" s="194">
        <v>1333333500</v>
      </c>
    </row>
    <row r="11" spans="1:4" ht="13.9" x14ac:dyDescent="0.4">
      <c r="B11" s="140" t="s">
        <v>220</v>
      </c>
      <c r="C11" s="193" t="s">
        <v>263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257</v>
      </c>
      <c r="C15" s="177" t="s">
        <v>264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6.7622093308630671E-2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2385307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0</v>
      </c>
      <c r="D51" s="60">
        <v>0.6</v>
      </c>
      <c r="E51" s="112"/>
    </row>
    <row r="52" spans="2:5" ht="13.9" x14ac:dyDescent="0.4">
      <c r="B52" s="3" t="s">
        <v>44</v>
      </c>
      <c r="C52" s="59">
        <v>253051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1500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9704</v>
      </c>
      <c r="D70" s="60">
        <v>0.05</v>
      </c>
      <c r="E70" s="112"/>
    </row>
    <row r="71" spans="2:5" ht="13.9" x14ac:dyDescent="0.4">
      <c r="B71" s="3" t="s">
        <v>75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611931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20583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30946</v>
      </c>
    </row>
    <row r="83" spans="2:8" ht="14.25" thickTop="1" x14ac:dyDescent="0.4">
      <c r="B83" s="73" t="s">
        <v>222</v>
      </c>
      <c r="C83" s="59">
        <v>3023302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106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249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258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248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209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6601.HK</v>
      </c>
      <c r="D3" s="275"/>
      <c r="E3" s="87"/>
      <c r="F3" s="3" t="s">
        <v>1</v>
      </c>
      <c r="G3" s="132">
        <v>1.87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朝云集团</v>
      </c>
      <c r="D4" s="277"/>
      <c r="E4" s="87"/>
      <c r="F4" s="3" t="s">
        <v>3</v>
      </c>
      <c r="G4" s="280">
        <f>Inputs!C10</f>
        <v>1333333500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2493.3336450000002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0.55541924442229906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1.8148224946381651E-3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0.76725752666097502</v>
      </c>
    </row>
    <row r="24" spans="1:8" ht="15.75" customHeight="1" x14ac:dyDescent="0.4">
      <c r="B24" s="137" t="s">
        <v>171</v>
      </c>
      <c r="C24" s="172">
        <f>Fin_Analysis!I81</f>
        <v>6.208277497005729E-4</v>
      </c>
      <c r="F24" s="140" t="s">
        <v>176</v>
      </c>
      <c r="G24" s="179">
        <f>(Fin_Analysis!H86*G7)/G3</f>
        <v>2.6011720398773835E-2</v>
      </c>
    </row>
    <row r="25" spans="1:8" ht="15.75" customHeight="1" x14ac:dyDescent="0.4">
      <c r="B25" s="137" t="s">
        <v>245</v>
      </c>
      <c r="C25" s="172">
        <f>Fin_Analysis!I82</f>
        <v>1.2789175437999239E-2</v>
      </c>
      <c r="F25" s="140" t="s">
        <v>175</v>
      </c>
      <c r="G25" s="172">
        <f>Fin_Analysis!I88</f>
        <v>2.5996778479834153</v>
      </c>
    </row>
    <row r="26" spans="1:8" ht="15.75" customHeight="1" x14ac:dyDescent="0.4">
      <c r="B26" s="138" t="s">
        <v>174</v>
      </c>
      <c r="C26" s="172">
        <f>Fin_Analysis!I83</f>
        <v>4.9862433731434744E-2</v>
      </c>
      <c r="F26" s="141" t="s">
        <v>195</v>
      </c>
      <c r="G26" s="179">
        <f>Fin_Analysis!H88*Exchange_Rate/G3</f>
        <v>6.7622093308630671E-2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259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1.3047629124137929</v>
      </c>
      <c r="D29" s="129">
        <f>G29*(1+G20)</f>
        <v>2.2196771315829777</v>
      </c>
      <c r="E29" s="87"/>
      <c r="F29" s="131">
        <f>IF(Fin_Analysis!C108="Profit",Fin_Analysis!F100,IF(Fin_Analysis!C108="Dividend",Fin_Analysis!F103,Fin_Analysis!F106))</f>
        <v>1.5350151910750505</v>
      </c>
      <c r="G29" s="271">
        <f>IF(Fin_Analysis!C108="Profit",Fin_Analysis!I100,IF(Fin_Analysis!C108="Dividend",Fin_Analysis!I103,Fin_Analysis!I106))</f>
        <v>1.930154027463459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2129333.7297364273</v>
      </c>
      <c r="E6" s="56">
        <f>1-D6/D3</f>
        <v>0.29662096364129154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1.7143120168725039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Inputs!C79</f>
        <v>20583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08">
        <f>Inputs!C82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33999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96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234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248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126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161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2.6011720398773835E-2</v>
      </c>
      <c r="D87" s="210"/>
      <c r="E87" s="263">
        <f>E86*Exchange_Rate/Dashboard!G3</f>
        <v>2.6011720398773835E-2</v>
      </c>
      <c r="F87" s="210"/>
      <c r="H87" s="263">
        <f>H86*Exchange_Rate/Dashboard!G3</f>
        <v>2.6011720398773835E-2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223</v>
      </c>
      <c r="C89" s="262">
        <f>C88*Exchange_Rate/Dashboard!G3</f>
        <v>6.7622093308630671E-2</v>
      </c>
      <c r="D89" s="210"/>
      <c r="E89" s="262">
        <f>E88*Exchange_Rate/Dashboard!G3</f>
        <v>6.7622093308630671E-2</v>
      </c>
      <c r="F89" s="210"/>
      <c r="H89" s="262">
        <f>H88*Exchange_Rate/Dashboard!G3</f>
        <v>6.7622093308630671E-2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0.76813896609804966</v>
      </c>
      <c r="H93" s="87" t="s">
        <v>211</v>
      </c>
      <c r="I93" s="144">
        <f>FV(H87,D93,0,-(H86/C93))*Exchange_Rate</f>
        <v>0.76813896609804966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2.4360459903246228</v>
      </c>
      <c r="H94" s="87" t="s">
        <v>212</v>
      </c>
      <c r="I94" s="144">
        <f>FV(H89,D93,0,-(H88/C93))*Exchange_Rate</f>
        <v>2.4360459903246228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509201.16154351342</v>
      </c>
      <c r="D97" s="214"/>
      <c r="E97" s="123">
        <f>PV(C94,D93,0,-F93)</f>
        <v>0.38190082342003212</v>
      </c>
      <c r="F97" s="214"/>
      <c r="H97" s="123">
        <f>PV(C94,D93,0,-I93)</f>
        <v>0.38190082342003212</v>
      </c>
      <c r="I97" s="123">
        <f>PV(C93,D93,0,-I93)</f>
        <v>0.54258260927115765</v>
      </c>
      <c r="K97" s="24"/>
    </row>
    <row r="98" spans="2:11" ht="15" customHeight="1" x14ac:dyDescent="0.4">
      <c r="B98" s="28" t="s">
        <v>145</v>
      </c>
      <c r="C98" s="91">
        <f>E53*Exchange_Rate</f>
        <v>4283.0961358547211</v>
      </c>
      <c r="D98" s="214"/>
      <c r="E98" s="214"/>
      <c r="F98" s="214"/>
      <c r="H98" s="123">
        <f>C98*Data!$C$4/Common_Shares</f>
        <v>3.2123217003508283E-3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2133616.825872282</v>
      </c>
      <c r="D99" s="215"/>
      <c r="E99" s="146">
        <f>IF(H99&gt;0,H99*(1-C94),H99*(1+C94))</f>
        <v>1.3601805564710101</v>
      </c>
      <c r="F99" s="215"/>
      <c r="H99" s="146">
        <f>C99*Data!$C$4/Common_Shares</f>
        <v>1.600212419377659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2638534.8912799405</v>
      </c>
      <c r="D100" s="109">
        <f>MIN(F100*(1-C94),E100)</f>
        <v>1.5800522411974134</v>
      </c>
      <c r="E100" s="109">
        <f>MAX(E97-H98+E99,0)</f>
        <v>1.7388690581906914</v>
      </c>
      <c r="F100" s="109">
        <f>(E100+H100)/2</f>
        <v>1.8588849896440158</v>
      </c>
      <c r="H100" s="109">
        <f>MAX(C100*Data!$C$4/Common_Shares,0)</f>
        <v>1.9789009210973403</v>
      </c>
      <c r="I100" s="109">
        <f>MAX(I97-H98+H99,0)</f>
        <v>2.1395827069484659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1614860.7251990126</v>
      </c>
      <c r="D103" s="109">
        <f>MIN(F103*(1-C94),E103)</f>
        <v>1.0294735836301725</v>
      </c>
      <c r="E103" s="123">
        <f>PV(C94,D93,0,-F94)</f>
        <v>1.2111453925060853</v>
      </c>
      <c r="F103" s="109">
        <f>(E103+H103)/2</f>
        <v>1.2111453925060853</v>
      </c>
      <c r="H103" s="123">
        <f>PV(C94,D93,0,-I94)</f>
        <v>1.2111453925060853</v>
      </c>
      <c r="I103" s="109">
        <f>PV(C93,D93,0,-I94)</f>
        <v>1.7207253479784521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1966676.5462990555</v>
      </c>
      <c r="D106" s="109">
        <f>(D100+D103)/2</f>
        <v>1.3047629124137929</v>
      </c>
      <c r="E106" s="123">
        <f>(E100+E103)/2</f>
        <v>1.4750072253483884</v>
      </c>
      <c r="F106" s="109">
        <f>(F100+F103)/2</f>
        <v>1.5350151910750505</v>
      </c>
      <c r="H106" s="123">
        <f>(H100+H103)/2</f>
        <v>1.5950231568017128</v>
      </c>
      <c r="I106" s="123">
        <f>(I100+I103)/2</f>
        <v>1.930154027463459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