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13_ncr:1_{2BB404E3-9B1B-407C-8733-D413C1A14B19}" xr6:coauthVersionLast="47" xr6:coauthVersionMax="47" xr10:uidLastSave="{00000000-0000-0000-0000-000000000000}"/>
  <bookViews>
    <workbookView xWindow="33720" yWindow="-120" windowWidth="29040" windowHeight="15720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F44" i="4"/>
  <c r="E44" i="4"/>
  <c r="D44" i="4"/>
  <c r="C44" i="4"/>
  <c r="D27" i="4"/>
  <c r="C27" i="4"/>
  <c r="C45" i="4" l="1"/>
  <c r="G52" i="2"/>
  <c r="H52" i="2"/>
  <c r="I52" i="2"/>
  <c r="J52" i="2"/>
  <c r="K52" i="2"/>
  <c r="L52" i="2"/>
  <c r="M52" i="2"/>
  <c r="D94" i="3" l="1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E91" i="4" s="1"/>
  <c r="F91" i="4" l="1"/>
  <c r="I12" i="2"/>
  <c r="J12" i="2"/>
  <c r="K12" i="2"/>
  <c r="L12" i="2"/>
  <c r="M12" i="2"/>
  <c r="E98" i="4" l="1"/>
  <c r="E88" i="3" s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D50" i="4" l="1"/>
  <c r="D56" i="4" s="1"/>
  <c r="D59" i="4"/>
  <c r="D69" i="4"/>
  <c r="D68" i="4"/>
  <c r="D67" i="4"/>
  <c r="D55" i="4"/>
  <c r="D62" i="4"/>
  <c r="D63" i="4" s="1"/>
  <c r="D61" i="4"/>
  <c r="D60" i="4"/>
  <c r="D58" i="4"/>
  <c r="D71" i="4" s="1"/>
  <c r="D53" i="4" l="1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F52" i="2" s="1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C52" i="2" s="1"/>
  <c r="E6" i="2"/>
  <c r="D52" i="2" s="1"/>
  <c r="F6" i="2"/>
  <c r="E52" i="2" s="1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D92" i="4"/>
  <c r="C22" i="2"/>
  <c r="F3" i="2"/>
  <c r="H22" i="2"/>
  <c r="M13" i="2"/>
  <c r="F15" i="2"/>
  <c r="H15" i="2"/>
  <c r="G15" i="2"/>
  <c r="C15" i="2"/>
  <c r="H74" i="3" s="1"/>
  <c r="D55" i="2"/>
  <c r="G56" i="2"/>
  <c r="D15" i="2"/>
  <c r="E15" i="2"/>
  <c r="K13" i="2"/>
  <c r="E13" i="2"/>
  <c r="L13" i="2"/>
  <c r="E40" i="2"/>
  <c r="G13" i="2"/>
  <c r="E56" i="2"/>
  <c r="D40" i="2"/>
  <c r="D13" i="2"/>
  <c r="G40" i="2"/>
  <c r="K55" i="2"/>
  <c r="L24" i="2"/>
  <c r="L23" i="2" s="1"/>
  <c r="M56" i="2"/>
  <c r="M55" i="2"/>
  <c r="E93" i="4" l="1"/>
  <c r="F93" i="4"/>
  <c r="F92" i="4"/>
  <c r="H75" i="3" s="1"/>
  <c r="H77" i="3"/>
  <c r="E74" i="3"/>
  <c r="F97" i="4"/>
  <c r="H78" i="3" s="1"/>
  <c r="I15" i="2"/>
  <c r="J56" i="2"/>
  <c r="J13" i="2"/>
  <c r="H40" i="2"/>
  <c r="H13" i="2"/>
  <c r="H56" i="2"/>
  <c r="F40" i="2"/>
  <c r="F13" i="2"/>
  <c r="F56" i="2"/>
  <c r="I13" i="2"/>
  <c r="I56" i="2"/>
  <c r="C13" i="2"/>
  <c r="K56" i="2"/>
  <c r="L56" i="2"/>
  <c r="L55" i="2"/>
  <c r="D56" i="2"/>
  <c r="G55" i="2"/>
  <c r="G3" i="2"/>
  <c r="C56" i="2"/>
  <c r="D48" i="2"/>
  <c r="E55" i="2"/>
  <c r="E89" i="3"/>
  <c r="F94" i="3" l="1"/>
  <c r="E103" i="3" s="1"/>
  <c r="E77" i="3"/>
  <c r="E92" i="4"/>
  <c r="E75" i="3" s="1"/>
  <c r="J55" i="2"/>
  <c r="H55" i="2"/>
  <c r="I55" i="2"/>
  <c r="F55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4" i="2"/>
  <c r="J54" i="2"/>
  <c r="K54" i="2"/>
  <c r="L54" i="2"/>
  <c r="M54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7" i="2"/>
  <c r="E57" i="2"/>
  <c r="F57" i="2"/>
  <c r="G57" i="2"/>
  <c r="H57" i="2"/>
  <c r="I57" i="2"/>
  <c r="J57" i="2"/>
  <c r="K57" i="2"/>
  <c r="L57" i="2"/>
  <c r="M57" i="2"/>
  <c r="E54" i="2"/>
  <c r="F54" i="2"/>
  <c r="G54" i="2"/>
  <c r="C31" i="2"/>
  <c r="C32" i="2"/>
  <c r="C25" i="3"/>
  <c r="M25" i="2"/>
  <c r="D103" i="3" l="1"/>
  <c r="H54" i="2"/>
  <c r="D77" i="3"/>
  <c r="D54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F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5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7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F94" i="4" s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98" i="3" s="1"/>
  <c r="C27" i="2"/>
  <c r="C37" i="2"/>
  <c r="C54" i="2" l="1"/>
  <c r="D6" i="3"/>
  <c r="H98" i="3"/>
  <c r="D95" i="4" l="1"/>
  <c r="D53" i="3"/>
  <c r="D7" i="3"/>
  <c r="D52" i="3"/>
  <c r="E95" i="4" l="1"/>
  <c r="E82" i="3" s="1"/>
  <c r="E83" i="3" s="1"/>
  <c r="F95" i="4"/>
  <c r="H82" i="3" s="1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F100" i="3" l="1"/>
  <c r="D100" i="3" s="1"/>
  <c r="H106" i="3"/>
  <c r="F106" i="3" l="1"/>
  <c r="F29" i="1" s="1"/>
  <c r="C29" i="1"/>
  <c r="D106" i="3"/>
</calcChain>
</file>

<file path=xl/sharedStrings.xml><?xml version="1.0" encoding="utf-8"?>
<sst xmlns="http://schemas.openxmlformats.org/spreadsheetml/2006/main" count="391" uniqueCount="272">
  <si>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</si>
  <si>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</si>
  <si>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</si>
  <si>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</si>
  <si>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</si>
  <si>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</si>
  <si>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</si>
  <si>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</si>
  <si>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</si>
  <si>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</si>
  <si>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</si>
  <si>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</si>
  <si>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</si>
  <si>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</si>
  <si>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</si>
  <si>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</si>
  <si>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</si>
  <si>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</si>
  <si>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</si>
  <si>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</si>
  <si>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</si>
  <si>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</si>
  <si>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</si>
  <si>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</si>
  <si>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</si>
  <si>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</si>
  <si>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</si>
  <si>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</si>
  <si>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</si>
  <si>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</si>
  <si>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</si>
  <si>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</si>
  <si>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</si>
  <si>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</si>
  <si>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</si>
  <si>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</si>
  <si>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</si>
  <si>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</si>
  <si>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</si>
  <si>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</si>
  <si>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</si>
  <si>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</si>
  <si>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</si>
  <si>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</si>
  <si>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</si>
  <si>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</si>
  <si>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</si>
  <si>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</si>
  <si>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</si>
  <si>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</si>
  <si>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</si>
  <si>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</si>
  <si>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</si>
  <si>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</si>
  <si>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</si>
  <si>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</si>
  <si>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</si>
  <si>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</si>
  <si>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</si>
  <si>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</si>
  <si>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</si>
  <si>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</si>
  <si>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</si>
  <si>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</si>
  <si>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</si>
  <si>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</si>
  <si>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</si>
  <si>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</si>
  <si>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</si>
  <si>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</si>
  <si>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</si>
  <si>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</si>
  <si>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</si>
  <si>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</si>
  <si>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</si>
  <si>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</si>
  <si>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</si>
  <si>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</si>
  <si>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</si>
  <si>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</si>
  <si>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</si>
  <si>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</si>
  <si>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</si>
  <si>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</si>
  <si>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</si>
  <si>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</si>
  <si>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</si>
  <si>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</si>
  <si>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</si>
  <si>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</si>
  <si>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</si>
  <si>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</si>
  <si>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</si>
  <si>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</si>
  <si>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</si>
  <si>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</si>
  <si>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</si>
  <si>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</si>
  <si>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</si>
  <si>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</si>
  <si>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</si>
  <si>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</si>
  <si>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</si>
  <si>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</si>
  <si>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</si>
  <si>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</si>
  <si>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</si>
  <si>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</si>
  <si>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</si>
  <si>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</si>
  <si>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</si>
  <si>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</si>
  <si>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</si>
  <si>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</si>
  <si>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</si>
  <si>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</si>
  <si>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</si>
  <si>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</si>
  <si>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</si>
  <si>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</si>
  <si>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</si>
  <si>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</si>
  <si>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</si>
  <si>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</si>
  <si>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</si>
  <si>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</si>
  <si>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</si>
  <si>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</si>
  <si>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</si>
  <si>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</si>
  <si>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</si>
  <si>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</si>
  <si>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</si>
  <si>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</si>
  <si>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</si>
  <si>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</si>
  <si>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</si>
  <si>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</si>
  <si>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</si>
  <si>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</si>
  <si>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</si>
  <si>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</si>
  <si>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</si>
  <si>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</si>
  <si>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</si>
  <si>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</si>
  <si>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</si>
  <si>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</si>
  <si>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</si>
  <si>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</si>
  <si>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</si>
  <si>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</si>
  <si>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</si>
  <si>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</si>
  <si>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</si>
  <si>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</si>
  <si>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</si>
  <si>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</si>
  <si>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</si>
  <si>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</si>
  <si>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</si>
  <si>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</si>
  <si>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</si>
  <si>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</si>
  <si>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</si>
  <si>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</si>
  <si>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</si>
  <si>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</si>
  <si>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</si>
  <si>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</si>
  <si>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</si>
  <si>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</si>
  <si>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</si>
  <si>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</si>
  <si>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</si>
  <si>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</si>
  <si>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</si>
  <si>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</si>
  <si>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</si>
  <si>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</si>
  <si>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</si>
  <si>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</si>
  <si>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</si>
  <si>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</si>
  <si>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</si>
  <si>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</si>
  <si>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</si>
  <si>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</si>
  <si>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</si>
  <si>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</si>
  <si>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</si>
  <si>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</si>
  <si>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</si>
  <si>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</si>
  <si>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</si>
  <si>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</si>
  <si>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</si>
  <si>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</si>
  <si>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</si>
  <si>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</si>
  <si>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</si>
  <si>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</si>
  <si>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</si>
  <si>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</si>
  <si>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</si>
  <si>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</si>
  <si>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</si>
  <si>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</si>
  <si>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</si>
  <si>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</si>
  <si>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</si>
  <si>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</si>
  <si>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</si>
  <si>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</si>
  <si>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</si>
  <si>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</si>
  <si>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</si>
  <si>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</si>
  <si>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</si>
  <si>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</si>
  <si>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</si>
  <si>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</si>
  <si>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</si>
  <si>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</si>
  <si>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</si>
  <si>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</si>
  <si>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</si>
  <si>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</si>
  <si>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</si>
  <si>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</si>
  <si>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</si>
  <si>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</si>
  <si>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</si>
  <si>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</si>
  <si>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</si>
  <si>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</si>
  <si>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</si>
  <si>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</si>
  <si>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</si>
  <si>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</si>
  <si>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</si>
  <si>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</si>
  <si>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</si>
  <si>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</si>
  <si>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</si>
  <si>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</si>
  <si>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</si>
  <si>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</si>
  <si>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</si>
  <si>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</si>
  <si>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</si>
  <si>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</si>
  <si>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</si>
  <si>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</si>
  <si>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</si>
  <si>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</si>
  <si>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</si>
  <si>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</si>
  <si>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</si>
  <si>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</si>
  <si>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</si>
  <si>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</si>
  <si>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</si>
  <si>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</si>
  <si>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Minority interests</t>
    <phoneticPr fontId="20" type="noConversion"/>
  </si>
  <si>
    <t>0639.HK</t>
    <phoneticPr fontId="20" type="noConversion"/>
  </si>
  <si>
    <t>C0017</t>
    <phoneticPr fontId="20" type="noConversion"/>
  </si>
  <si>
    <t>HKD</t>
    <phoneticPr fontId="20" type="noConversion"/>
  </si>
  <si>
    <t>首鋼資源</t>
    <phoneticPr fontId="20" type="noConversion"/>
  </si>
  <si>
    <t>Dividend</t>
  </si>
  <si>
    <t>disagree</t>
  </si>
  <si>
    <t>Tier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</si>
</sst>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30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1"/>
      <color rgb="FF0000FF"/>
      <name val="Microsoft YaHei"/>
      <family val="1"/>
      <charset val="134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8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29" fillId="9" borderId="14" xfId="0" applyFont="1" applyFill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0.41164692038862905</c:v>
                </c:pt>
                <c:pt idx="1">
                  <c:v>7.227755646344601E-2</c:v>
                </c:pt>
                <c:pt idx="2">
                  <c:v>7.8411588526902082E-2</c:v>
                </c:pt>
                <c:pt idx="3">
                  <c:v>0</c:v>
                </c:pt>
                <c:pt idx="4">
                  <c:v>4.9583539011941466E-4</c:v>
                </c:pt>
                <c:pt idx="5">
                  <c:v>0</c:v>
                </c:pt>
                <c:pt idx="6">
                  <c:v>0.43716809923090344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zoomScaleNormal="100" workbookViewId="0">
      <selection activeCell="D11" sqref="D11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265</v>
      </c>
    </row>
    <row r="5" spans="1:5" ht="15" x14ac:dyDescent="0.5">
      <c r="B5" s="141" t="s">
        <v>195</v>
      </c>
      <c r="C5" s="271" t="s">
        <v>268</v>
      </c>
    </row>
    <row r="6" spans="1:5" ht="13.9" x14ac:dyDescent="0.4">
      <c r="B6" s="141" t="s">
        <v>163</v>
      </c>
      <c r="C6" s="189">
        <v>45639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271</v>
      </c>
      <c r="E8" s="267"/>
    </row>
    <row r="9" spans="1:5" ht="13.9" x14ac:dyDescent="0.4">
      <c r="B9" s="140" t="s">
        <v>216</v>
      </c>
      <c r="C9" s="192" t="s">
        <v>266</v>
      </c>
    </row>
    <row r="10" spans="1:5" ht="13.9" x14ac:dyDescent="0.4">
      <c r="B10" s="140" t="s">
        <v>217</v>
      </c>
      <c r="C10" s="193">
        <v>5091065770</v>
      </c>
    </row>
    <row r="11" spans="1:5" ht="13.9" x14ac:dyDescent="0.4">
      <c r="B11" s="140" t="s">
        <v>218</v>
      </c>
      <c r="C11" s="192" t="s">
        <v>267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255</v>
      </c>
      <c r="C15" s="176" t="s">
        <v>260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245</v>
      </c>
      <c r="D17" s="24"/>
    </row>
    <row r="18" spans="2:13" ht="13.9" x14ac:dyDescent="0.4">
      <c r="B18" s="240" t="s">
        <v>238</v>
      </c>
      <c r="C18" s="242" t="s">
        <v>270</v>
      </c>
      <c r="D18" s="24"/>
    </row>
    <row r="19" spans="2:13" ht="13.9" x14ac:dyDescent="0.4">
      <c r="B19" s="240" t="s">
        <v>239</v>
      </c>
      <c r="C19" s="242" t="s">
        <v>270</v>
      </c>
      <c r="D19" s="24"/>
    </row>
    <row r="20" spans="2:13" ht="13.9" x14ac:dyDescent="0.4">
      <c r="B20" s="241" t="s">
        <v>228</v>
      </c>
      <c r="C20" s="242" t="s">
        <v>270</v>
      </c>
      <c r="D20" s="24"/>
    </row>
    <row r="21" spans="2:13" ht="13.9" x14ac:dyDescent="0.4">
      <c r="B21" s="224" t="s">
        <v>231</v>
      </c>
      <c r="C21" s="242" t="s">
        <v>245</v>
      </c>
      <c r="D21" s="24"/>
    </row>
    <row r="22" spans="2:13" ht="78.75" x14ac:dyDescent="0.4">
      <c r="B22" s="226" t="s">
        <v>230</v>
      </c>
      <c r="C22" s="243" t="s">
        <v>258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5891068</v>
      </c>
      <c r="D25" s="149">
        <v>8214719</v>
      </c>
      <c r="E25" s="149">
        <v>7075818</v>
      </c>
      <c r="F25" s="149">
        <v>3996951</v>
      </c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2425040</v>
      </c>
      <c r="D26" s="150">
        <v>2925125</v>
      </c>
      <c r="E26" s="150">
        <v>2681244</v>
      </c>
      <c r="F26" s="150">
        <v>2127744</v>
      </c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f>415858+9934</f>
        <v>425792</v>
      </c>
      <c r="D27" s="150">
        <f>556324+118037</f>
        <v>674361</v>
      </c>
      <c r="E27" s="150">
        <v>477644</v>
      </c>
      <c r="F27" s="150">
        <v>498500</v>
      </c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256</v>
      </c>
      <c r="C29" s="150">
        <v>2921</v>
      </c>
      <c r="D29" s="150">
        <v>1360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>
        <v>346446</v>
      </c>
      <c r="D30" s="150">
        <v>457540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264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f>0.18+0.1</f>
        <v>0.28000000000000003</v>
      </c>
      <c r="D44" s="250">
        <f>0.28+0.15</f>
        <v>0.43000000000000005</v>
      </c>
      <c r="E44" s="250">
        <f>0.32+0.08</f>
        <v>0.4</v>
      </c>
      <c r="F44" s="250">
        <f>0.09+0.075</f>
        <v>0.16499999999999998</v>
      </c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252</v>
      </c>
      <c r="C45" s="152">
        <f>IF(C44="","",C44*Exchange_Rate/Dashboard!$G$3)</f>
        <v>0.10646387832699621</v>
      </c>
      <c r="D45" s="152">
        <f>IF(D44="","",D44*Exchange_Rate/Dashboard!$G$3)</f>
        <v>0.16349809885931563</v>
      </c>
      <c r="E45" s="152">
        <f>IF(E44="","",E44*Exchange_Rate/Dashboard!$G$3)</f>
        <v>0.15209125475285173</v>
      </c>
      <c r="F45" s="152">
        <f>IF(F44="","",F44*Exchange_Rate/Dashboard!$G$3)</f>
        <v>6.2737642585551326E-2</v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262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261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6" t="s">
        <v>75</v>
      </c>
      <c r="C72" s="247"/>
      <c r="D72" s="248">
        <v>0</v>
      </c>
      <c r="E72" s="249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269</v>
      </c>
      <c r="D87" s="269">
        <v>0.02</v>
      </c>
    </row>
    <row r="89" spans="2:8" ht="13.5" x14ac:dyDescent="0.35">
      <c r="B89" s="106" t="s">
        <v>127</v>
      </c>
      <c r="C89" s="272">
        <f>C24</f>
        <v>45291</v>
      </c>
      <c r="D89" s="272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1000HKD)</v>
      </c>
      <c r="C90" s="273" t="s">
        <v>100</v>
      </c>
      <c r="D90" s="273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5891068</v>
      </c>
      <c r="D91" s="209"/>
      <c r="E91" s="251">
        <f>C91</f>
        <v>5891068</v>
      </c>
      <c r="F91" s="251">
        <f>C91</f>
        <v>5891068</v>
      </c>
    </row>
    <row r="92" spans="2:8" ht="13.9" x14ac:dyDescent="0.4">
      <c r="B92" s="104" t="s">
        <v>105</v>
      </c>
      <c r="C92" s="77">
        <f>C26</f>
        <v>2425040</v>
      </c>
      <c r="D92" s="159">
        <f>C92/C91</f>
        <v>0.41164692038862905</v>
      </c>
      <c r="E92" s="252">
        <f>E91*D92</f>
        <v>2425040</v>
      </c>
      <c r="F92" s="252">
        <f>F91*D92</f>
        <v>2425040</v>
      </c>
    </row>
    <row r="93" spans="2:8" ht="13.9" x14ac:dyDescent="0.4">
      <c r="B93" s="104" t="s">
        <v>247</v>
      </c>
      <c r="C93" s="77">
        <f>C27+C28</f>
        <v>425792</v>
      </c>
      <c r="D93" s="159">
        <f>C93/C91</f>
        <v>7.227755646344601E-2</v>
      </c>
      <c r="E93" s="252">
        <f>E91*D93</f>
        <v>425791.99999999994</v>
      </c>
      <c r="F93" s="252">
        <f>F91*D93</f>
        <v>425791.99999999994</v>
      </c>
    </row>
    <row r="94" spans="2:8" ht="13.9" x14ac:dyDescent="0.4">
      <c r="B94" s="104" t="s">
        <v>256</v>
      </c>
      <c r="C94" s="77">
        <f>C29</f>
        <v>2921</v>
      </c>
      <c r="D94" s="159">
        <f>C94/C91</f>
        <v>4.9583539011941466E-4</v>
      </c>
      <c r="E94" s="253"/>
      <c r="F94" s="252">
        <f>F91*D94</f>
        <v>2921</v>
      </c>
    </row>
    <row r="95" spans="2:8" ht="13.9" x14ac:dyDescent="0.4">
      <c r="B95" s="28" t="s">
        <v>246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461928</v>
      </c>
      <c r="D97" s="159">
        <f>C97/C91</f>
        <v>7.8411588526902082E-2</v>
      </c>
      <c r="E97" s="253"/>
      <c r="F97" s="252">
        <f>F91*D97</f>
        <v>461928</v>
      </c>
    </row>
    <row r="98" spans="2:7" ht="13.9" x14ac:dyDescent="0.4">
      <c r="B98" s="86" t="s">
        <v>207</v>
      </c>
      <c r="C98" s="237">
        <f>C44</f>
        <v>0.28000000000000003</v>
      </c>
      <c r="D98" s="266"/>
      <c r="E98" s="254">
        <f>F98</f>
        <v>0.16499999999999998</v>
      </c>
      <c r="F98" s="254">
        <f>F44</f>
        <v>0.16499999999999998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G29" sqref="G29:H29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0639.HK : 首鋼資源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8" t="str">
        <f>Inputs!C4</f>
        <v>0639.HK</v>
      </c>
      <c r="D3" s="279"/>
      <c r="E3" s="87"/>
      <c r="F3" s="3" t="s">
        <v>1</v>
      </c>
      <c r="G3" s="132">
        <v>2.63</v>
      </c>
      <c r="H3" s="134" t="s">
        <v>267</v>
      </c>
    </row>
    <row r="4" spans="1:10" ht="15.75" customHeight="1" x14ac:dyDescent="0.4">
      <c r="B4" s="35" t="s">
        <v>195</v>
      </c>
      <c r="C4" s="280" t="str">
        <f>Inputs!C5</f>
        <v>首鋼資源</v>
      </c>
      <c r="D4" s="281"/>
      <c r="E4" s="87"/>
      <c r="F4" s="3" t="s">
        <v>2</v>
      </c>
      <c r="G4" s="284">
        <f>Inputs!C10</f>
        <v>5091065770</v>
      </c>
      <c r="H4" s="284"/>
      <c r="I4" s="39"/>
    </row>
    <row r="5" spans="1:10" ht="15.75" customHeight="1" x14ac:dyDescent="0.4">
      <c r="B5" s="3" t="s">
        <v>163</v>
      </c>
      <c r="C5" s="282">
        <f>Inputs!C6</f>
        <v>45639</v>
      </c>
      <c r="D5" s="283"/>
      <c r="E5" s="34"/>
      <c r="F5" s="35" t="s">
        <v>99</v>
      </c>
      <c r="G5" s="276">
        <f>G3*G4/1000000</f>
        <v>13389.5029751</v>
      </c>
      <c r="H5" s="276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7" t="str">
        <f>Inputs!C11</f>
        <v>HKD</v>
      </c>
      <c r="H6" s="277"/>
      <c r="I6" s="38"/>
    </row>
    <row r="7" spans="1:10" ht="15.75" customHeight="1" x14ac:dyDescent="0.4">
      <c r="B7" s="86" t="s">
        <v>192</v>
      </c>
      <c r="C7" s="187" t="str">
        <f>Inputs!C8</f>
        <v>Tier 3</v>
      </c>
      <c r="D7" s="187" t="str">
        <f>Inputs!C9</f>
        <v>C0017</v>
      </c>
      <c r="E7" s="87"/>
      <c r="F7" s="35" t="s">
        <v>5</v>
      </c>
      <c r="G7" s="133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4.2000000000000003E-2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5.2299999999999999E-2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253</v>
      </c>
      <c r="C12" s="174">
        <v>7.4999999999999997E-2</v>
      </c>
      <c r="D12" s="172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1.8100000000000002E-2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CN</v>
      </c>
      <c r="F16" s="110" t="s">
        <v>178</v>
      </c>
    </row>
    <row r="17" spans="1:8" ht="15.75" customHeight="1" thickTop="1" x14ac:dyDescent="0.4">
      <c r="B17" s="87" t="s">
        <v>254</v>
      </c>
      <c r="C17" s="175">
        <v>8.6249999999999993E-2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0.41164692038862905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7.227755646344601E-2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7.8411588526902082E-2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1">
        <f>Fin_Analysis!I81</f>
        <v>4.9583539011941466E-4</v>
      </c>
      <c r="F24" s="140" t="s">
        <v>259</v>
      </c>
      <c r="G24" s="268">
        <f>G3/(Fin_Analysis!H86*G7)</f>
        <v>6.9320341500002396</v>
      </c>
    </row>
    <row r="25" spans="1:8" ht="15.75" customHeight="1" x14ac:dyDescent="0.4">
      <c r="B25" s="137" t="s">
        <v>243</v>
      </c>
      <c r="C25" s="171">
        <f>Fin_Analysis!I82</f>
        <v>0</v>
      </c>
      <c r="F25" s="140" t="s">
        <v>174</v>
      </c>
      <c r="G25" s="171">
        <f>Fin_Analysis!I88</f>
        <v>0.43489948089355107</v>
      </c>
    </row>
    <row r="26" spans="1:8" ht="15.75" customHeight="1" x14ac:dyDescent="0.4">
      <c r="B26" s="138" t="s">
        <v>173</v>
      </c>
      <c r="C26" s="171">
        <f>Fin_Analysis!I83</f>
        <v>0.43716809923090344</v>
      </c>
      <c r="F26" s="141" t="s">
        <v>193</v>
      </c>
      <c r="G26" s="178">
        <f>Fin_Analysis!H88*Exchange_Rate/G3</f>
        <v>6.2737642585551326E-2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4" t="s">
        <v>257</v>
      </c>
      <c r="H28" s="274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1.4267835851100301</v>
      </c>
      <c r="D29" s="129">
        <f>G29*(1+G20)</f>
        <v>2.5673038573950846</v>
      </c>
      <c r="E29" s="87"/>
      <c r="F29" s="131">
        <f>IF(Fin_Analysis!C108="Profit",Fin_Analysis!F100,IF(Fin_Analysis!C108="Dividend",Fin_Analysis!F103,Fin_Analysis!F106))</f>
        <v>1.678568923658859</v>
      </c>
      <c r="G29" s="275">
        <f>IF(Fin_Analysis!C108="Profit",Fin_Analysis!I100,IF(Fin_Analysis!C108="Dividend",Fin_Analysis!I103,Fin_Analysis!I106))</f>
        <v>2.2324381368652912</v>
      </c>
      <c r="H29" s="275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unclear</v>
      </c>
    </row>
    <row r="34" spans="1:3" ht="15.75" customHeight="1" x14ac:dyDescent="0.4">
      <c r="A34"/>
      <c r="B34" s="19" t="s">
        <v>225</v>
      </c>
      <c r="C34" s="225" t="e">
        <f>IF(AND(OR(Fin_Analysis!I26&lt;0.8,Fin_Analysis!I46&lt;0.6),Data!C55&lt;0.8),"Strongly disagree",
IF(AND(OR(Fin_Analysis!I26&lt;1,Fin_Analysis!I46&lt;0.8),Data!C55&lt;1),"unclear", IF(AND(OR(Fin_Analysis!I26&lt;1.4,Fin_Analysis!I46&lt;1.2),Data!C55&lt;1.4),"agree","Strongly agree")))</f>
        <v>#DIV/0!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disagree</v>
      </c>
    </row>
    <row r="37" spans="1:3" ht="15.75" customHeight="1" x14ac:dyDescent="0.4">
      <c r="A37"/>
      <c r="B37" s="20" t="s">
        <v>239</v>
      </c>
      <c r="C37" s="245" t="str">
        <f>Inputs!C19</f>
        <v>disagree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disagree</v>
      </c>
    </row>
    <row r="40" spans="1:3" ht="15.75" customHeight="1" x14ac:dyDescent="0.4">
      <c r="A40"/>
      <c r="B40" s="1" t="s">
        <v>231</v>
      </c>
      <c r="C40" s="245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1"/>
  <sheetViews>
    <sheetView showGridLines="0" zoomScaleNormal="100" workbookViewId="0">
      <pane xSplit="2" topLeftCell="C1" activePane="topRight" state="frozen"/>
      <selection activeCell="A4" sqref="A4"/>
      <selection pane="topRight" activeCell="D50" sqref="D50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2578308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HKD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5891068</v>
      </c>
      <c r="D6" s="200">
        <f>IF(Inputs!D25="","",Inputs!D25)</f>
        <v>8214719</v>
      </c>
      <c r="E6" s="200">
        <f>IF(Inputs!E25="","",Inputs!E25)</f>
        <v>7075818</v>
      </c>
      <c r="F6" s="200">
        <f>IF(Inputs!F25="","",Inputs!F25)</f>
        <v>3996951</v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-0.28286433169533853</v>
      </c>
      <c r="D7" s="92">
        <f t="shared" si="1"/>
        <v>0.16095679679720432</v>
      </c>
      <c r="E7" s="92">
        <f t="shared" si="1"/>
        <v>0.77030391415856747</v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2425040</v>
      </c>
      <c r="D8" s="199">
        <f>IF(Inputs!D26="","",Inputs!D26)</f>
        <v>2925125</v>
      </c>
      <c r="E8" s="199">
        <f>IF(Inputs!E26="","",Inputs!E26)</f>
        <v>2681244</v>
      </c>
      <c r="F8" s="199">
        <f>IF(Inputs!F26="","",Inputs!F26)</f>
        <v>2127744</v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3466028</v>
      </c>
      <c r="D9" s="151">
        <f t="shared" si="2"/>
        <v>5289594</v>
      </c>
      <c r="E9" s="151">
        <f t="shared" si="2"/>
        <v>4394574</v>
      </c>
      <c r="F9" s="151">
        <f t="shared" si="2"/>
        <v>1869207</v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425792</v>
      </c>
      <c r="D10" s="199">
        <f>IF(Inputs!D27="","",Inputs!D27)</f>
        <v>674361</v>
      </c>
      <c r="E10" s="199">
        <f>IF(Inputs!E27="","",Inputs!E27)</f>
        <v>477644</v>
      </c>
      <c r="F10" s="199">
        <f>IF(Inputs!F27="","",Inputs!F27)</f>
        <v>498500</v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>
        <f>IF(Inputs!C30="","",MAX(Inputs!C30,0)/(1-Fin_Analysis!$I$84))</f>
        <v>461928</v>
      </c>
      <c r="D12" s="199">
        <f>IF(Inputs!D30="","",MAX(Inputs!D30,0)/(1-Fin_Analysis!$I$84))</f>
        <v>610053.33333333337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0.43766393462102288</v>
      </c>
      <c r="D13" s="229">
        <f t="shared" si="3"/>
        <v>0.48756137205261268</v>
      </c>
      <c r="E13" s="229">
        <f t="shared" si="3"/>
        <v>0.55356567961471026</v>
      </c>
      <c r="F13" s="229">
        <f t="shared" si="3"/>
        <v>0.3429381546083502</v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2578308</v>
      </c>
      <c r="D14" s="230">
        <f t="shared" ref="D14:M14" si="4">IF(D6="","",D9-D10-MAX(D11,0)-MAX(D12,0))</f>
        <v>4005179.6666666665</v>
      </c>
      <c r="E14" s="230">
        <f t="shared" si="4"/>
        <v>3916930</v>
      </c>
      <c r="F14" s="230">
        <f t="shared" si="4"/>
        <v>1370707</v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-0.35625659406540144</v>
      </c>
      <c r="D15" s="232">
        <f t="shared" ref="D15:M15" si="5">IF(E14="","",IF(ABS(D14+E14)=ABS(D14)+ABS(E14),IF(D14&lt;0,-1,1)*(D14-E14)/E14,"Turn"))</f>
        <v>2.2530314983077695E-2</v>
      </c>
      <c r="E15" s="232">
        <f t="shared" si="5"/>
        <v>1.8575983051082399</v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256</v>
      </c>
      <c r="C17" s="199">
        <f>IF(Inputs!C29="","",Inputs!C29)</f>
        <v>2921</v>
      </c>
      <c r="D17" s="199">
        <f>IF(Inputs!D29="","",Inputs!D29)</f>
        <v>1360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0</v>
      </c>
      <c r="D20" s="152">
        <f t="shared" si="7"/>
        <v>0</v>
      </c>
      <c r="E20" s="152">
        <f t="shared" si="7"/>
        <v>0</v>
      </c>
      <c r="F20" s="152">
        <f t="shared" si="7"/>
        <v>0</v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2575387</v>
      </c>
      <c r="D22" s="161">
        <f t="shared" ref="D22:M22" si="8">IF(D6="","",D14-MAX(D16,0)-MAX(D17,0)-ABS(MAX(D21,0)-MAX(D19,0)))</f>
        <v>4003819.6666666665</v>
      </c>
      <c r="E22" s="161">
        <f t="shared" si="8"/>
        <v>3916930</v>
      </c>
      <c r="F22" s="161">
        <f t="shared" si="8"/>
        <v>1370707</v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0.32787607442317762</v>
      </c>
      <c r="D23" s="153">
        <f t="shared" si="9"/>
        <v>0.36554686167597455</v>
      </c>
      <c r="E23" s="153">
        <f t="shared" si="9"/>
        <v>0.41517425971103272</v>
      </c>
      <c r="F23" s="153">
        <f t="shared" si="9"/>
        <v>0.25720361595626268</v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1931540.25</v>
      </c>
      <c r="D24" s="77">
        <f>IF(D6="","",D22*(1-Fin_Analysis!$I$84))</f>
        <v>3002864.75</v>
      </c>
      <c r="E24" s="77">
        <f>IF(E6="","",E22*(1-Fin_Analysis!$I$84))</f>
        <v>2937697.5</v>
      </c>
      <c r="F24" s="77">
        <f>IF(F6="","",F22*(1-Fin_Analysis!$I$84))</f>
        <v>1028030.25</v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-0.35676748345059495</v>
      </c>
      <c r="D25" s="233">
        <f t="shared" ref="D25:M25" si="10">IF(E24="","",IF(ABS(D24+E24)=ABS(D24)+ABS(E24),IF(D24&lt;0,-1,1)*(D24-E24)/E24,"Turn"))</f>
        <v>2.2183104284903398E-2</v>
      </c>
      <c r="E25" s="233">
        <f t="shared" si="10"/>
        <v>1.8575983051082399</v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 t="e">
        <f>IF(C6="","",C14/MAX(C39,0))</f>
        <v>#DIV/0!</v>
      </c>
      <c r="D40" s="155" t="e">
        <f>IF(D6="","",D14/MAX(D39,0))</f>
        <v>#DIV/0!</v>
      </c>
      <c r="E40" s="155" t="e">
        <f>IF(E6="","",E14/MAX(E39,0))</f>
        <v>#DIV/0!</v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251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0.41164692038862905</v>
      </c>
      <c r="D42" s="156">
        <f t="shared" si="34"/>
        <v>0.35608339128824734</v>
      </c>
      <c r="E42" s="156">
        <f t="shared" si="34"/>
        <v>0.37893060562043851</v>
      </c>
      <c r="F42" s="156">
        <f t="shared" si="34"/>
        <v>0.53234177751991452</v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7.227755646344601E-2</v>
      </c>
      <c r="D43" s="153">
        <f t="shared" si="35"/>
        <v>8.2091791575585243E-2</v>
      </c>
      <c r="E43" s="153">
        <f t="shared" si="35"/>
        <v>6.7503714764851216E-2</v>
      </c>
      <c r="F43" s="153">
        <f t="shared" si="35"/>
        <v>0.12472006787173523</v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>
        <f t="shared" si="36"/>
        <v>0</v>
      </c>
      <c r="F44" s="153">
        <f t="shared" si="36"/>
        <v>0</v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4.9583539011941466E-4</v>
      </c>
      <c r="D45" s="153">
        <f t="shared" si="37"/>
        <v>1.6555648464664465E-4</v>
      </c>
      <c r="E45" s="153">
        <f t="shared" si="37"/>
        <v>0</v>
      </c>
      <c r="F45" s="153">
        <f t="shared" si="37"/>
        <v>0</v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7.8411588526902082E-2</v>
      </c>
      <c r="D46" s="153">
        <f t="shared" ref="D46:M46" si="38">IF(D6="","",MAX(D12,0)/D6)</f>
        <v>7.4263445083554702E-2</v>
      </c>
      <c r="E46" s="153">
        <f t="shared" si="38"/>
        <v>0</v>
      </c>
      <c r="F46" s="153">
        <f t="shared" si="38"/>
        <v>0</v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>
        <f t="shared" si="39"/>
        <v>0</v>
      </c>
      <c r="F47" s="153">
        <f t="shared" si="39"/>
        <v>0</v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0.43716809923090344</v>
      </c>
      <c r="D48" s="153">
        <f t="shared" si="40"/>
        <v>0.48739581556796607</v>
      </c>
      <c r="E48" s="153">
        <f t="shared" si="40"/>
        <v>0.55356567961471026</v>
      </c>
      <c r="F48" s="153">
        <f t="shared" si="40"/>
        <v>0.3429381546083502</v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263</v>
      </c>
      <c r="C52" s="153" t="e">
        <f>IF(D6="","",C16/(C6-D6))</f>
        <v>#VALUE!</v>
      </c>
      <c r="D52" s="153" t="e">
        <f t="shared" ref="D52:M52" si="43">IF(E6="","",D16/(D6-E6))</f>
        <v>#VALUE!</v>
      </c>
      <c r="E52" s="153" t="e">
        <f t="shared" si="43"/>
        <v>#VALUE!</v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16"/>
      <c r="B53" s="102" t="s">
        <v>124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spans="1:14" ht="15.75" customHeight="1" x14ac:dyDescent="0.4">
      <c r="A54" s="4"/>
      <c r="B54" s="95" t="s">
        <v>19</v>
      </c>
      <c r="C54" s="156" t="e">
        <f>IF(C36="","",(C27-C36)/C27)</f>
        <v>#DIV/0!</v>
      </c>
      <c r="D54" s="156" t="str">
        <f t="shared" ref="D54:M54" si="44">IF(D36="","",(D27-D36)/D27)</f>
        <v/>
      </c>
      <c r="E54" s="156" t="str">
        <f t="shared" si="44"/>
        <v/>
      </c>
      <c r="F54" s="156" t="str">
        <f t="shared" si="44"/>
        <v/>
      </c>
      <c r="G54" s="156" t="str">
        <f t="shared" si="44"/>
        <v/>
      </c>
      <c r="H54" s="156" t="str">
        <f t="shared" si="44"/>
        <v/>
      </c>
      <c r="I54" s="156" t="str">
        <f t="shared" si="44"/>
        <v/>
      </c>
      <c r="J54" s="156" t="str">
        <f t="shared" si="44"/>
        <v/>
      </c>
      <c r="K54" s="156" t="str">
        <f t="shared" si="44"/>
        <v/>
      </c>
      <c r="L54" s="156" t="str">
        <f t="shared" si="44"/>
        <v/>
      </c>
      <c r="M54" s="156" t="str">
        <f t="shared" si="44"/>
        <v/>
      </c>
    </row>
    <row r="55" spans="1:14" ht="15.75" customHeight="1" x14ac:dyDescent="0.4">
      <c r="A55" s="4"/>
      <c r="B55" s="94" t="s">
        <v>120</v>
      </c>
      <c r="C55" s="157" t="str">
        <f t="shared" ref="C55:M55" si="45">IF(OR(C22="",C35=""),"",IF(C35&lt;=0,"-",C22/C35))</f>
        <v>-</v>
      </c>
      <c r="D55" s="157" t="str">
        <f t="shared" si="45"/>
        <v/>
      </c>
      <c r="E55" s="157" t="str">
        <f t="shared" si="45"/>
        <v/>
      </c>
      <c r="F55" s="157" t="str">
        <f t="shared" si="45"/>
        <v/>
      </c>
      <c r="G55" s="157" t="str">
        <f t="shared" si="45"/>
        <v/>
      </c>
      <c r="H55" s="157" t="str">
        <f t="shared" si="45"/>
        <v/>
      </c>
      <c r="I55" s="157" t="str">
        <f t="shared" si="45"/>
        <v/>
      </c>
      <c r="J55" s="157" t="str">
        <f t="shared" si="45"/>
        <v/>
      </c>
      <c r="K55" s="157" t="str">
        <f t="shared" si="45"/>
        <v/>
      </c>
      <c r="L55" s="157" t="str">
        <f t="shared" si="45"/>
        <v/>
      </c>
      <c r="M55" s="157" t="str">
        <f t="shared" si="45"/>
        <v/>
      </c>
    </row>
    <row r="56" spans="1:14" ht="15.75" customHeight="1" x14ac:dyDescent="0.4">
      <c r="A56" s="4"/>
      <c r="B56" s="94" t="s">
        <v>122</v>
      </c>
      <c r="C56" s="153">
        <f t="shared" ref="C56:M56" si="46">IF(C22="","",IF(MAX(C17,0)&lt;=0,"-",C17/C22))</f>
        <v>1.1341984719189775E-3</v>
      </c>
      <c r="D56" s="153">
        <f t="shared" si="46"/>
        <v>3.3967563807194446E-4</v>
      </c>
      <c r="E56" s="153" t="str">
        <f t="shared" si="46"/>
        <v>-</v>
      </c>
      <c r="F56" s="153" t="str">
        <f t="shared" si="46"/>
        <v>-</v>
      </c>
      <c r="G56" s="153" t="str">
        <f t="shared" si="46"/>
        <v/>
      </c>
      <c r="H56" s="153" t="str">
        <f t="shared" si="46"/>
        <v/>
      </c>
      <c r="I56" s="153" t="str">
        <f t="shared" si="46"/>
        <v/>
      </c>
      <c r="J56" s="153" t="str">
        <f t="shared" si="46"/>
        <v/>
      </c>
      <c r="K56" s="153" t="str">
        <f t="shared" si="46"/>
        <v/>
      </c>
      <c r="L56" s="153" t="str">
        <f t="shared" si="46"/>
        <v/>
      </c>
      <c r="M56" s="153" t="str">
        <f t="shared" si="46"/>
        <v/>
      </c>
    </row>
    <row r="57" spans="1:14" ht="15.75" customHeight="1" x14ac:dyDescent="0.4">
      <c r="A57" s="4"/>
      <c r="B57" s="98" t="s">
        <v>20</v>
      </c>
      <c r="C57" s="158" t="e">
        <f t="shared" ref="C57:M57" si="47">IF(C28="","",C28/C31)</f>
        <v>#DIV/0!</v>
      </c>
      <c r="D57" s="158" t="str">
        <f t="shared" si="47"/>
        <v/>
      </c>
      <c r="E57" s="158" t="str">
        <f t="shared" si="47"/>
        <v/>
      </c>
      <c r="F57" s="158" t="str">
        <f t="shared" si="47"/>
        <v/>
      </c>
      <c r="G57" s="158" t="str">
        <f t="shared" si="47"/>
        <v/>
      </c>
      <c r="H57" s="158" t="str">
        <f t="shared" si="47"/>
        <v/>
      </c>
      <c r="I57" s="158" t="str">
        <f t="shared" si="47"/>
        <v/>
      </c>
      <c r="J57" s="158" t="str">
        <f t="shared" si="47"/>
        <v/>
      </c>
      <c r="K57" s="158" t="str">
        <f t="shared" si="47"/>
        <v/>
      </c>
      <c r="L57" s="158" t="str">
        <f t="shared" si="47"/>
        <v/>
      </c>
      <c r="M57" s="158" t="str">
        <f t="shared" si="47"/>
        <v/>
      </c>
    </row>
    <row r="58" spans="1:14" ht="15.75" customHeight="1" x14ac:dyDescent="0.4"/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67" zoomScaleNormal="100" workbookViewId="0">
      <selection activeCell="I103" sqref="I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5">
        <f>I15+I34</f>
        <v>0</v>
      </c>
      <c r="E56" s="283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4">
        <f>Inputs!C84</f>
        <v>0</v>
      </c>
      <c r="E57" s="283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4">
        <f>Inputs!C85</f>
        <v>0</v>
      </c>
      <c r="E58" s="283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2">
        <f>Data!C5</f>
        <v>45291</v>
      </c>
      <c r="D72" s="272"/>
      <c r="E72" s="286" t="s">
        <v>206</v>
      </c>
      <c r="F72" s="286"/>
      <c r="H72" s="286" t="s">
        <v>205</v>
      </c>
      <c r="I72" s="286"/>
      <c r="K72" s="50" t="s">
        <v>7</v>
      </c>
    </row>
    <row r="73" spans="1:11" ht="15" customHeight="1" x14ac:dyDescent="0.4">
      <c r="B73" s="12" t="str">
        <f>"(Numbers in "&amp;Data!C4&amp;Dashboard!G6&amp;")"</f>
        <v>(Numbers in 1000HKD)</v>
      </c>
      <c r="C73" s="273" t="s">
        <v>100</v>
      </c>
      <c r="D73" s="273"/>
      <c r="E73" s="287" t="s">
        <v>101</v>
      </c>
      <c r="F73" s="273"/>
      <c r="H73" s="287" t="s">
        <v>101</v>
      </c>
      <c r="I73" s="273"/>
      <c r="K73" s="24"/>
    </row>
    <row r="74" spans="1:11" ht="15" customHeight="1" x14ac:dyDescent="0.4">
      <c r="B74" s="3" t="s">
        <v>126</v>
      </c>
      <c r="C74" s="77">
        <f>Data!C6</f>
        <v>5891068</v>
      </c>
      <c r="D74" s="209"/>
      <c r="E74" s="238">
        <f>Inputs!E91</f>
        <v>5891068</v>
      </c>
      <c r="F74" s="209"/>
      <c r="H74" s="238">
        <f>Inputs!F91</f>
        <v>5891068</v>
      </c>
      <c r="I74" s="209"/>
      <c r="K74" s="24"/>
    </row>
    <row r="75" spans="1:11" ht="15" customHeight="1" x14ac:dyDescent="0.4">
      <c r="B75" s="104" t="s">
        <v>105</v>
      </c>
      <c r="C75" s="77">
        <f>Data!C8</f>
        <v>2425040</v>
      </c>
      <c r="D75" s="159">
        <f>C75/$C$74</f>
        <v>0.41164692038862905</v>
      </c>
      <c r="E75" s="238">
        <f>Inputs!E92</f>
        <v>2425040</v>
      </c>
      <c r="F75" s="160">
        <f>E75/E74</f>
        <v>0.41164692038862905</v>
      </c>
      <c r="H75" s="238">
        <f>Inputs!F92</f>
        <v>2425040</v>
      </c>
      <c r="I75" s="160">
        <f>H75/$H$74</f>
        <v>0.41164692038862905</v>
      </c>
      <c r="K75" s="24"/>
    </row>
    <row r="76" spans="1:11" ht="15" customHeight="1" x14ac:dyDescent="0.4">
      <c r="B76" s="35" t="s">
        <v>95</v>
      </c>
      <c r="C76" s="161">
        <f>C74-C75</f>
        <v>3466028</v>
      </c>
      <c r="D76" s="210"/>
      <c r="E76" s="162">
        <f>E74-E75</f>
        <v>3466028</v>
      </c>
      <c r="F76" s="210"/>
      <c r="H76" s="162">
        <f>H74-H75</f>
        <v>3466028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425792</v>
      </c>
      <c r="D77" s="159">
        <f>C77/$C$74</f>
        <v>7.227755646344601E-2</v>
      </c>
      <c r="E77" s="238">
        <f>Inputs!E93</f>
        <v>425791.99999999994</v>
      </c>
      <c r="F77" s="160">
        <f>E77/E74</f>
        <v>7.227755646344601E-2</v>
      </c>
      <c r="H77" s="238">
        <f>Inputs!F93</f>
        <v>425791.99999999994</v>
      </c>
      <c r="I77" s="160">
        <f>H77/$H$74</f>
        <v>7.227755646344601E-2</v>
      </c>
      <c r="K77" s="24"/>
    </row>
    <row r="78" spans="1:11" ht="15" customHeight="1" x14ac:dyDescent="0.4">
      <c r="B78" s="73" t="s">
        <v>172</v>
      </c>
      <c r="C78" s="77">
        <f>MAX(Data!C12,0)</f>
        <v>461928</v>
      </c>
      <c r="D78" s="159">
        <f>C78/$C$74</f>
        <v>7.8411588526902082E-2</v>
      </c>
      <c r="E78" s="180">
        <f>E74*F78</f>
        <v>461928</v>
      </c>
      <c r="F78" s="160">
        <f>I78</f>
        <v>7.8411588526902082E-2</v>
      </c>
      <c r="H78" s="238">
        <f>Inputs!F97</f>
        <v>461928</v>
      </c>
      <c r="I78" s="160">
        <f>H78/$H$74</f>
        <v>7.8411588526902082E-2</v>
      </c>
      <c r="K78" s="24"/>
    </row>
    <row r="79" spans="1:11" ht="15" customHeight="1" x14ac:dyDescent="0.4">
      <c r="B79" s="256" t="s">
        <v>232</v>
      </c>
      <c r="C79" s="257">
        <f>C76-C77-C78</f>
        <v>2578308</v>
      </c>
      <c r="D79" s="258">
        <f>C79/C74</f>
        <v>0.43766393462102288</v>
      </c>
      <c r="E79" s="259">
        <f>E76-E77-E78</f>
        <v>2578308</v>
      </c>
      <c r="F79" s="258">
        <f>E79/E74</f>
        <v>0.43766393462102288</v>
      </c>
      <c r="G79" s="260"/>
      <c r="H79" s="259">
        <f>H76-H77-H78</f>
        <v>2578308</v>
      </c>
      <c r="I79" s="258">
        <f>H79/H74</f>
        <v>0.43766393462102288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256</v>
      </c>
      <c r="C81" s="77">
        <f>MAX(Data!C17,0)</f>
        <v>2921</v>
      </c>
      <c r="D81" s="159">
        <f>C81/$C$74</f>
        <v>4.9583539011941466E-4</v>
      </c>
      <c r="E81" s="180">
        <f>E74*F81</f>
        <v>2921</v>
      </c>
      <c r="F81" s="160">
        <f>I81</f>
        <v>4.9583539011941466E-4</v>
      </c>
      <c r="H81" s="238">
        <f>Inputs!F94</f>
        <v>2921</v>
      </c>
      <c r="I81" s="160">
        <f>H81/$H$74</f>
        <v>4.9583539011941466E-4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125</v>
      </c>
      <c r="C83" s="163">
        <f>C79-C81-C82-C80</f>
        <v>2575387</v>
      </c>
      <c r="D83" s="164">
        <f>C83/$C$74</f>
        <v>0.43716809923090344</v>
      </c>
      <c r="E83" s="165">
        <f>E79-E81-E82-E80</f>
        <v>2575387</v>
      </c>
      <c r="F83" s="164">
        <f>E83/E74</f>
        <v>0.43716809923090344</v>
      </c>
      <c r="H83" s="165">
        <f>H79-H81-H82-H80</f>
        <v>2575387</v>
      </c>
      <c r="I83" s="164">
        <f>H83/$H$74</f>
        <v>0.43716809923090344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1931540.25</v>
      </c>
      <c r="D85" s="258">
        <f>C85/$C$74</f>
        <v>0.32787607442317762</v>
      </c>
      <c r="E85" s="264">
        <f>E83*(1-F84)</f>
        <v>1931540.25</v>
      </c>
      <c r="F85" s="258">
        <f>E85/E74</f>
        <v>0.32787607442317762</v>
      </c>
      <c r="G85" s="260"/>
      <c r="H85" s="264">
        <f>H83*(1-I84)</f>
        <v>1931540.25</v>
      </c>
      <c r="I85" s="258">
        <f>H85/$H$74</f>
        <v>0.32787607442317762</v>
      </c>
      <c r="K85" s="24"/>
    </row>
    <row r="86" spans="1:11" ht="15" customHeight="1" x14ac:dyDescent="0.4">
      <c r="B86" s="87" t="s">
        <v>160</v>
      </c>
      <c r="C86" s="167">
        <f>C85*Data!C4/Common_Shares</f>
        <v>0.37939801551611069</v>
      </c>
      <c r="D86" s="209"/>
      <c r="E86" s="168">
        <f>E85*Data!C4/Common_Shares</f>
        <v>0.37939801551611069</v>
      </c>
      <c r="F86" s="209"/>
      <c r="H86" s="168">
        <f>H85*Data!C4/Common_Shares</f>
        <v>0.37939801551611069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0.14425780057646795</v>
      </c>
      <c r="D87" s="209"/>
      <c r="E87" s="262">
        <f>E86*Exchange_Rate/Dashboard!G3</f>
        <v>0.14425780057646795</v>
      </c>
      <c r="F87" s="209"/>
      <c r="H87" s="262">
        <f>H86*Exchange_Rate/Dashboard!G3</f>
        <v>0.14425780057646795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0.28000000000000003</v>
      </c>
      <c r="D88" s="166">
        <f>C88/C86</f>
        <v>0.73801124030420806</v>
      </c>
      <c r="E88" s="170">
        <f>Inputs!E98</f>
        <v>0.16499999999999998</v>
      </c>
      <c r="F88" s="166">
        <f>E88/E86</f>
        <v>0.43489948089355107</v>
      </c>
      <c r="H88" s="170">
        <f>Inputs!F98</f>
        <v>0.16499999999999998</v>
      </c>
      <c r="I88" s="166">
        <f>H88/H86</f>
        <v>0.43489948089355107</v>
      </c>
      <c r="K88" s="24"/>
    </row>
    <row r="89" spans="1:11" ht="15" customHeight="1" x14ac:dyDescent="0.4">
      <c r="B89" s="87" t="s">
        <v>221</v>
      </c>
      <c r="C89" s="261">
        <f>C88*Exchange_Rate/Dashboard!G3</f>
        <v>0.10646387832699621</v>
      </c>
      <c r="D89" s="209"/>
      <c r="E89" s="261">
        <f>E88*Exchange_Rate/Dashboard!G3</f>
        <v>6.2737642585551326E-2</v>
      </c>
      <c r="F89" s="209"/>
      <c r="H89" s="261">
        <f>H88*Exchange_Rate/Dashboard!G3</f>
        <v>6.2737642585551326E-2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CN</v>
      </c>
      <c r="D92" s="10" t="s">
        <v>156</v>
      </c>
      <c r="E92" s="286" t="s">
        <v>206</v>
      </c>
      <c r="F92" s="286"/>
      <c r="G92" s="87"/>
      <c r="H92" s="286" t="s">
        <v>205</v>
      </c>
      <c r="I92" s="286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8.6249999999999993E-2</v>
      </c>
      <c r="D93" s="239">
        <f>Inputs!C86</f>
        <v>5</v>
      </c>
      <c r="E93" s="87" t="s">
        <v>209</v>
      </c>
      <c r="F93" s="144">
        <f>FV(E87,D93,0,-(E86/(C93-D94)))*Exchange_Rate</f>
        <v>11.233848977269362</v>
      </c>
      <c r="H93" s="87" t="s">
        <v>209</v>
      </c>
      <c r="I93" s="144">
        <f>FV(H87,D93,0,-(H86/(C93-D94)))*Exchange_Rate</f>
        <v>11.233848977269362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3.376201669315384</v>
      </c>
      <c r="H94" s="87" t="s">
        <v>210</v>
      </c>
      <c r="I94" s="144">
        <f>FV(H89,D93,0,-(H88/(C93-D94)))*Exchange_Rate</f>
        <v>3.376201669315384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28434663.096618969</v>
      </c>
      <c r="D97" s="213"/>
      <c r="E97" s="123">
        <f>PV(C94,D93,0,-F93)</f>
        <v>5.5852083593528139</v>
      </c>
      <c r="F97" s="213"/>
      <c r="H97" s="123">
        <f>PV(C94,D93,0,-I93)</f>
        <v>5.5852083593528139</v>
      </c>
      <c r="I97" s="123">
        <f>PV(C93,D93,0,-I93)</f>
        <v>7.4281323620477604</v>
      </c>
      <c r="K97" s="24"/>
    </row>
    <row r="98" spans="2:11" ht="15" customHeight="1" x14ac:dyDescent="0.4">
      <c r="B98" s="28" t="s">
        <v>144</v>
      </c>
      <c r="C98" s="91">
        <f>-E53*Exchange_Rate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C97+C98+$C$99</f>
        <v>28434663.096618969</v>
      </c>
      <c r="D100" s="109">
        <f>MIN(F100*(1-C94),E100)</f>
        <v>4.7474271054498915</v>
      </c>
      <c r="E100" s="109">
        <f>MAX(E97+H98+E99,0)</f>
        <v>5.5852083593528139</v>
      </c>
      <c r="F100" s="109">
        <f>(E100+H100)/2</f>
        <v>5.5852083593528139</v>
      </c>
      <c r="H100" s="109">
        <f>MAX(C100*Data!$C$4/Common_Shares,0)</f>
        <v>5.5852083593528139</v>
      </c>
      <c r="I100" s="109">
        <f>MAX(I97+H98+H99,0)</f>
        <v>7.4281323620477604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8545704.7898253612</v>
      </c>
      <c r="D103" s="109">
        <f>MIN(F103*(1-C94),E103)</f>
        <v>1.4267835851100301</v>
      </c>
      <c r="E103" s="123">
        <f>PV(C94,D93,0,-F94)</f>
        <v>1.678568923658859</v>
      </c>
      <c r="F103" s="109">
        <f>(E103+H103)/2</f>
        <v>1.678568923658859</v>
      </c>
      <c r="H103" s="123">
        <f>PV(C94,D93,0,-I94)</f>
        <v>1.678568923658859</v>
      </c>
      <c r="I103" s="109">
        <f>PV(C93,D93,0,-I94)</f>
        <v>2.2324381368652912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18490183.943222165</v>
      </c>
      <c r="D106" s="109">
        <f>(D100+D103)/2</f>
        <v>3.0871053452799608</v>
      </c>
      <c r="E106" s="123">
        <f>(E100+E103)/2</f>
        <v>3.6318886415058365</v>
      </c>
      <c r="F106" s="109">
        <f>(F100+F103)/2</f>
        <v>3.6318886415058365</v>
      </c>
      <c r="H106" s="123">
        <f>(H100+H103)/2</f>
        <v>3.6318886415058365</v>
      </c>
      <c r="I106" s="123">
        <f>(I100+I103)/2</f>
        <v>4.8302852494565256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2024-12-13T09:00:34Z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