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B1857F-7FB7-4F77-9BA6-AD916AC75C32}" xr6:coauthVersionLast="47" xr6:coauthVersionMax="47" xr10:uidLastSave="{00000000-0000-0000-0000-000000000000}"/>
  <bookViews>
    <workbookView xWindow="1103" yWindow="1103" windowWidth="12690" windowHeight="7642" firstSheet="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 l="1"/>
  <c r="F6" i="4"/>
  <c r="F5" i="4"/>
  <c r="E53" i="3" l="1"/>
  <c r="H88" i="3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F93" i="3" l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<sst xmlns="http://schemas.openxmlformats.org/spreadsheetml/2006/main" count="350" uniqueCount="249">
  <si>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</si>
  <si>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</si>
  <si>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</si>
  <si>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</si>
  <si>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</si>
  <si>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</si>
  <si>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</si>
  <si>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</si>
  <si>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</si>
  <si>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</si>
  <si>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</si>
  <si>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</si>
  <si>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</si>
  <si>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</si>
  <si>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</si>
  <si>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</si>
  <si>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</si>
  <si>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</si>
  <si>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</si>
  <si>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</si>
  <si>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</si>
  <si>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</si>
  <si>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</si>
  <si>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</si>
  <si>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</si>
  <si>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</si>
  <si>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</si>
  <si>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</si>
  <si>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</si>
  <si>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</si>
  <si>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</si>
  <si>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</si>
  <si>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</si>
  <si>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</si>
  <si>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</si>
  <si>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</si>
  <si>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</si>
  <si>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</si>
  <si>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</si>
  <si>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</si>
  <si>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</si>
  <si>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</si>
  <si>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</si>
  <si>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</si>
  <si>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</si>
  <si>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</si>
  <si>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</si>
  <si>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</si>
  <si>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</si>
  <si>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</si>
  <si>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</si>
  <si>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</si>
  <si>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</si>
  <si>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</si>
  <si>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</si>
  <si>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</si>
  <si>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</si>
  <si>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</si>
  <si>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</si>
  <si>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</si>
  <si>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</si>
  <si>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</si>
  <si>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</si>
  <si>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</si>
  <si>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</si>
  <si>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</si>
  <si>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</si>
  <si>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</si>
  <si>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</si>
  <si>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</si>
  <si>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</si>
  <si>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</si>
  <si>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</si>
  <si>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</si>
  <si>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</si>
  <si>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</si>
  <si>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</si>
  <si>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</si>
  <si>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</si>
  <si>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</si>
  <si>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</si>
  <si>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</si>
  <si>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</si>
  <si>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</si>
  <si>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</si>
  <si>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</si>
  <si>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</si>
  <si>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</si>
  <si>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</si>
  <si>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</si>
  <si>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</si>
  <si>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</si>
  <si>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</si>
  <si>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</si>
  <si>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</si>
  <si>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</si>
  <si>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</si>
  <si>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</si>
  <si>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</si>
  <si>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</si>
  <si>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</si>
  <si>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</si>
  <si>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</si>
  <si>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</si>
  <si>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</si>
  <si>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</si>
  <si>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</si>
  <si>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</si>
  <si>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</si>
  <si>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</si>
  <si>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</si>
  <si>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</si>
  <si>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</si>
  <si>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</si>
  <si>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</si>
  <si>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</si>
  <si>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</si>
  <si>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</si>
  <si>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</si>
  <si>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</si>
  <si>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</si>
  <si>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</si>
  <si>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</si>
  <si>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</si>
  <si>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</si>
  <si>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</si>
  <si>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</si>
  <si>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</si>
  <si>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</si>
  <si>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</si>
  <si>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</si>
  <si>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</si>
  <si>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</si>
  <si>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</si>
  <si>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</si>
  <si>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</si>
  <si>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</si>
  <si>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</si>
  <si>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</si>
  <si>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</si>
  <si>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</si>
  <si>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</si>
  <si>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</si>
  <si>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</si>
  <si>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</si>
  <si>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</si>
  <si>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</si>
  <si>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</si>
  <si>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</si>
  <si>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</si>
  <si>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</si>
  <si>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</si>
  <si>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</si>
  <si>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</si>
  <si>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</si>
  <si>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</si>
  <si>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</si>
  <si>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</si>
  <si>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</si>
  <si>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</si>
  <si>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</si>
  <si>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</si>
  <si>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</si>
  <si>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</si>
  <si>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</si>
  <si>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</si>
  <si>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</si>
  <si>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</si>
  <si>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</si>
  <si>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</si>
  <si>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</si>
  <si>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</si>
  <si>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</si>
  <si>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</si>
  <si>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</si>
  <si>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</si>
  <si>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</si>
  <si>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</si>
  <si>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</si>
  <si>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</si>
  <si>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</si>
  <si>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</si>
  <si>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</si>
  <si>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</si>
  <si>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</si>
  <si>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</si>
  <si>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</si>
  <si>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</si>
  <si>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</si>
  <si>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</si>
  <si>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</si>
  <si>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</si>
  <si>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</si>
  <si>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</si>
  <si>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</si>
  <si>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</si>
  <si>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</si>
  <si>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</si>
  <si>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</si>
  <si>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</si>
  <si>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</si>
  <si>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</si>
  <si>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</si>
  <si>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</si>
  <si>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</si>
  <si>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</si>
  <si>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</si>
  <si>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</si>
  <si>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</si>
  <si>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</si>
  <si>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</si>
  <si>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</si>
  <si>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</si>
  <si>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</si>
  <si>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</si>
  <si>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</si>
  <si>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</si>
  <si>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</si>
  <si>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</si>
  <si>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</si>
  <si>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</si>
  <si>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</si>
  <si>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</si>
  <si>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</si>
  <si>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</si>
  <si>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</si>
  <si>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</si>
  <si>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</si>
  <si>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</si>
  <si>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</si>
  <si>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</si>
  <si>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</si>
  <si>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</si>
  <si>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</si>
  <si>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</si>
  <si>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</si>
  <si>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</si>
  <si>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</si>
  <si>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</si>
  <si>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</si>
  <si>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</si>
  <si>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</si>
  <si>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</si>
  <si>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</si>
  <si>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USD</t>
  </si>
  <si>
    <t>0069.HK</t>
    <phoneticPr fontId="20" type="noConversion"/>
  </si>
  <si>
    <t>SHANGRI-LA ASIA</t>
    <phoneticPr fontId="20" type="noConversion"/>
  </si>
  <si>
    <t>C0011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</si>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</sst>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0" sqref="D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0" t="str">
        <f>Inputs!C4</f>
        <v>0069.HK</v>
      </c>
      <c r="D3" s="241"/>
      <c r="E3" s="87"/>
      <c r="F3" s="3" t="s">
        <v>1</v>
      </c>
      <c r="G3" s="133">
        <v>5.179999828338623</v>
      </c>
      <c r="H3" s="135" t="s">
        <v>2</v>
      </c>
    </row>
    <row r="4" spans="1:10" ht="15.75" customHeight="1" x14ac:dyDescent="0.4">
      <c r="B4" s="35" t="s">
        <v>212</v>
      </c>
      <c r="C4" s="242" t="str">
        <f>Inputs!C5</f>
        <v>SHANGRI-LA ASIA</v>
      </c>
      <c r="D4" s="243"/>
      <c r="E4" s="87"/>
      <c r="F4" s="3" t="s">
        <v>3</v>
      </c>
      <c r="G4" s="246">
        <f>Inputs!C10</f>
        <v>3585525056</v>
      </c>
      <c r="H4" s="246"/>
      <c r="I4" s="39"/>
    </row>
    <row r="5" spans="1:10" ht="15.75" customHeight="1" x14ac:dyDescent="0.4">
      <c r="B5" s="3" t="s">
        <v>175</v>
      </c>
      <c r="C5" s="244">
        <f>Inputs!C6</f>
        <v>45603</v>
      </c>
      <c r="D5" s="245"/>
      <c r="E5" s="34"/>
      <c r="F5" s="35" t="s">
        <v>102</v>
      </c>
      <c r="G5" s="238">
        <f>G3*G4/1000000</f>
        <v>18573.019174583831</v>
      </c>
      <c r="H5" s="238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39" t="str">
        <f>Inputs!C11</f>
        <v>USD</v>
      </c>
      <c r="H6" s="239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7.7829033533732099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0.45524911405880131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0.44873026767330132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0.12063647696552883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-1.6901001579533909E-2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-2.2794750488611966</v>
      </c>
    </row>
    <row r="26" spans="1:8" ht="15.75" customHeight="1" x14ac:dyDescent="0.4">
      <c r="B26" s="139" t="s">
        <v>187</v>
      </c>
      <c r="C26" s="177">
        <f>Fin_Analysis!I83</f>
        <v>-2.4615858697631419E-2</v>
      </c>
      <c r="F26" s="142" t="s">
        <v>210</v>
      </c>
      <c r="G26" s="184">
        <f>Fin_Analysis!H88*Exchange_Rate/G3</f>
        <v>3.8525411401311216E-2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6" t="str">
        <f>Fin_Analysis!H96</f>
        <v>Base Case</v>
      </c>
      <c r="H28" s="236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1.8160572336808716</v>
      </c>
      <c r="D29" s="130">
        <f>IF(Fin_Analysis!C108="Profit",Fin_Analysis!I100,IF(Fin_Analysis!C108="Dividend",Fin_Analysis!I103,Fin_Analysis!I106))</f>
        <v>3.3169790052256891</v>
      </c>
      <c r="E29" s="87"/>
      <c r="F29" s="132">
        <f>IF(Fin_Analysis!C108="Profit",Fin_Analysis!F100,IF(Fin_Analysis!C108="Dividend",Fin_Analysis!F103,Fin_Analysis!F106))</f>
        <v>2.6535832041805514</v>
      </c>
      <c r="G29" s="237">
        <f>IF(Fin_Analysis!C108="Profit",Fin_Analysis!H100,IF(Fin_Analysis!C108="Dividend",Fin_Analysis!H103,Fin_Analysis!H106))</f>
        <v>2.6535832041805514</v>
      </c>
      <c r="H29" s="237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f>(0.05+0.15)/7.8</f>
        <v>2.5641025641025644E-2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2.5641025641025644E-2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247</v>
      </c>
    </row>
    <row r="10" spans="1:6" ht="13.9" x14ac:dyDescent="0.4">
      <c r="B10" s="141" t="s">
        <v>239</v>
      </c>
      <c r="C10" s="200">
        <v>3585525056</v>
      </c>
    </row>
    <row r="11" spans="1:6" ht="13.9" x14ac:dyDescent="0.4">
      <c r="B11" s="141" t="s">
        <v>240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2141790</v>
      </c>
      <c r="D19" s="152">
        <v>1462145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975048</v>
      </c>
      <c r="D20" s="153">
        <v>775627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961086</v>
      </c>
      <c r="D21" s="153">
        <v>799714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258378</v>
      </c>
      <c r="D26" s="153">
        <v>360932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17537</v>
      </c>
      <c r="D27" s="153">
        <v>-28933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-75646.183006535954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2141790</v>
      </c>
      <c r="D6" s="209">
        <f>IF(Inputs!D19="","",Inputs!D19)</f>
        <v>1462145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975048</v>
      </c>
      <c r="D8" s="208">
        <f>IF(Inputs!D20="","",Inputs!D20)</f>
        <v>775627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1166742</v>
      </c>
      <c r="D9" s="154">
        <f t="shared" si="2"/>
        <v>686518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961086</v>
      </c>
      <c r="D10" s="208">
        <f>IF(Inputs!D21="","",Inputs!D21)</f>
        <v>799714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205656</v>
      </c>
      <c r="D13" s="154">
        <f t="shared" ref="D13:M13" si="4">IF(D6="","",(D9-D10+MAX(D12,0)))</f>
        <v>-113196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258378</v>
      </c>
      <c r="D17" s="208">
        <f>IF(Inputs!D26="","",Inputs!D26)</f>
        <v>360932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17537</v>
      </c>
      <c r="D18" s="208">
        <f>IF(Inputs!D27="","",Inputs!D27)</f>
        <v>-28933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-75646.183006535954</v>
      </c>
      <c r="D19" s="77">
        <f>IF(D6="","",D9-D10-D17-MAX(D18/(1-Fin_Analysis!$I$84),0))</f>
        <v>-474128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0.84045198130771437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-75646.183006535954</v>
      </c>
      <c r="D21" s="77">
        <f>IF(D6="","",D13-MAX(D14,0)-MAX(D15,0)-MAX(D16,0)-D17-MAX(D18/(1-Fin_Analysis!$I$84),0))</f>
        <v>-474128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0.84045198130771437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-2.7019142866480845E-2</v>
      </c>
      <c r="D23" s="157">
        <f t="shared" si="7"/>
        <v>-0.24806562960581885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-57869.330000000009</v>
      </c>
      <c r="D24" s="77">
        <f>IF(D6="","",D21*(1-Fin_Analysis!$I$84))</f>
        <v>-362707.92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0.84045198130771448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0.45524911405880131</v>
      </c>
      <c r="D42" s="161">
        <f t="shared" si="33"/>
        <v>0.5304720120097528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0.44873026767330132</v>
      </c>
      <c r="D43" s="157">
        <f t="shared" ref="D43:M43" si="34">IF(D6="","",(D10-MAX(D12,0))/D6)</f>
        <v>0.54694575435404835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0.12063647696552883</v>
      </c>
      <c r="D46" s="157">
        <f t="shared" si="37"/>
        <v>0.2468510305065503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1.0703282304304319E-2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-3.5319141001935742E-2</v>
      </c>
      <c r="D48" s="157">
        <f t="shared" si="38"/>
        <v>-0.32426879687035143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-3.4156118621038121</v>
      </c>
      <c r="D55" s="157">
        <f t="shared" si="43"/>
        <v>-0.76125434481827692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D102" sqref="D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7">
        <f>I15+I34</f>
        <v>0</v>
      </c>
      <c r="E56" s="245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6">
        <f>Inputs!C77</f>
        <v>0</v>
      </c>
      <c r="E57" s="245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6">
        <f>Inputs!C78</f>
        <v>0</v>
      </c>
      <c r="E58" s="245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0">
        <f>Data!C5</f>
        <v>45291</v>
      </c>
      <c r="D72" s="250"/>
      <c r="E72" s="248" t="s">
        <v>226</v>
      </c>
      <c r="F72" s="248"/>
      <c r="H72" s="248" t="s">
        <v>225</v>
      </c>
      <c r="I72" s="248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49" t="s">
        <v>103</v>
      </c>
      <c r="D73" s="249"/>
      <c r="E73" s="251" t="s">
        <v>104</v>
      </c>
      <c r="F73" s="249"/>
      <c r="H73" s="251" t="s">
        <v>104</v>
      </c>
      <c r="I73" s="249"/>
      <c r="K73" s="24"/>
    </row>
    <row r="74" spans="1:11" ht="15" customHeight="1" x14ac:dyDescent="0.4">
      <c r="B74" s="3" t="s">
        <v>136</v>
      </c>
      <c r="C74" s="77">
        <f>Data!C6</f>
        <v>2141790</v>
      </c>
      <c r="D74" s="218"/>
      <c r="E74" s="205">
        <f>H74</f>
        <v>2141790</v>
      </c>
      <c r="F74" s="218"/>
      <c r="H74" s="205">
        <f>C74</f>
        <v>2141790</v>
      </c>
      <c r="I74" s="218"/>
      <c r="K74" s="24"/>
    </row>
    <row r="75" spans="1:11" ht="15" customHeight="1" x14ac:dyDescent="0.4">
      <c r="B75" s="105" t="s">
        <v>109</v>
      </c>
      <c r="C75" s="77">
        <f>Data!C8</f>
        <v>975048</v>
      </c>
      <c r="D75" s="164">
        <f>C75/$C$74</f>
        <v>0.45524911405880131</v>
      </c>
      <c r="E75" s="186">
        <f>E74*F75</f>
        <v>975048</v>
      </c>
      <c r="F75" s="165">
        <f>I75</f>
        <v>0.45524911405880131</v>
      </c>
      <c r="H75" s="205">
        <f>D75*H74</f>
        <v>975048</v>
      </c>
      <c r="I75" s="165">
        <f>H75/$H$74</f>
        <v>0.45524911405880131</v>
      </c>
      <c r="K75" s="24"/>
    </row>
    <row r="76" spans="1:11" ht="15" customHeight="1" x14ac:dyDescent="0.4">
      <c r="B76" s="35" t="s">
        <v>96</v>
      </c>
      <c r="C76" s="166">
        <f>C74-C75</f>
        <v>1166742</v>
      </c>
      <c r="D76" s="219"/>
      <c r="E76" s="167">
        <f>E74-E75</f>
        <v>1166742</v>
      </c>
      <c r="F76" s="219"/>
      <c r="H76" s="167">
        <f>H74-H75</f>
        <v>1166742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961086</v>
      </c>
      <c r="D77" s="164">
        <f>C77/$C$74</f>
        <v>0.44873026767330132</v>
      </c>
      <c r="E77" s="186">
        <f>E74*F77</f>
        <v>961086</v>
      </c>
      <c r="F77" s="165">
        <f>I77</f>
        <v>0.44873026767330132</v>
      </c>
      <c r="H77" s="205">
        <f>D77*H74</f>
        <v>961086</v>
      </c>
      <c r="I77" s="165">
        <f>H77/$H$74</f>
        <v>0.44873026767330132</v>
      </c>
      <c r="K77" s="24"/>
    </row>
    <row r="78" spans="1:11" ht="15" customHeight="1" x14ac:dyDescent="0.4">
      <c r="B78" s="35" t="s">
        <v>97</v>
      </c>
      <c r="C78" s="166">
        <f>C76-C77</f>
        <v>205656</v>
      </c>
      <c r="D78" s="219"/>
      <c r="E78" s="167">
        <f>E76-E77</f>
        <v>205656</v>
      </c>
      <c r="F78" s="219"/>
      <c r="H78" s="167">
        <f>H76-H77</f>
        <v>205656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258378</v>
      </c>
      <c r="D79" s="164">
        <f>C79/$C$74</f>
        <v>0.12063647696552883</v>
      </c>
      <c r="E79" s="186">
        <f>E74*F79</f>
        <v>258378</v>
      </c>
      <c r="F79" s="165">
        <f t="shared" ref="F79:F84" si="8">I79</f>
        <v>0.12063647696552883</v>
      </c>
      <c r="H79" s="205">
        <f>C79</f>
        <v>258378</v>
      </c>
      <c r="I79" s="165">
        <f>H79/$H$74</f>
        <v>0.12063647696552883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17537</v>
      </c>
      <c r="D82" s="164">
        <f>C82/$C$74</f>
        <v>8.1880109627928046E-3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-70259</v>
      </c>
      <c r="D83" s="169">
        <f>C83/$C$74</f>
        <v>-3.2803869660424222E-2</v>
      </c>
      <c r="E83" s="170">
        <f>E74*F83</f>
        <v>-52722</v>
      </c>
      <c r="F83" s="171">
        <f t="shared" si="8"/>
        <v>-2.4615858697631419E-2</v>
      </c>
      <c r="H83" s="170">
        <f>H78-H79-H80-H81-H82</f>
        <v>-52722</v>
      </c>
      <c r="I83" s="171">
        <f>H83/$H$74</f>
        <v>-2.4615858697631419E-2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-53748.135000000002</v>
      </c>
      <c r="D85" s="171">
        <f>C85/$C$74</f>
        <v>-2.5094960290224531E-2</v>
      </c>
      <c r="E85" s="172">
        <f>E83*(1-F84)</f>
        <v>-40332.33</v>
      </c>
      <c r="F85" s="171">
        <f>E85/$H$74</f>
        <v>-1.8831131903688039E-2</v>
      </c>
      <c r="H85" s="172">
        <f>H83*(1-I84)</f>
        <v>-40332.33</v>
      </c>
      <c r="I85" s="171">
        <f>H85/$H$74</f>
        <v>-1.8831131903688039E-2</v>
      </c>
      <c r="K85" s="24"/>
    </row>
    <row r="86" spans="1:11" ht="15" customHeight="1" x14ac:dyDescent="0.4">
      <c r="B86" s="87" t="s">
        <v>172</v>
      </c>
      <c r="C86" s="173">
        <f>C85*Data!C4/Common_Shares</f>
        <v>-1.4990310808191992E-2</v>
      </c>
      <c r="D86" s="218"/>
      <c r="E86" s="174">
        <f>E85*Data!C4/Common_Shares</f>
        <v>-1.1248653787123333E-2</v>
      </c>
      <c r="F86" s="218"/>
      <c r="H86" s="174">
        <f>H85*Data!C4/Common_Shares</f>
        <v>-1.1248653787123333E-2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-2.252280774584562E-2</v>
      </c>
      <c r="D87" s="218"/>
      <c r="E87" s="165">
        <f>E86*Exchange_Rate/Dashboard!G3</f>
        <v>-1.6901001579533909E-2</v>
      </c>
      <c r="F87" s="218"/>
      <c r="H87" s="165">
        <f>H86*Exchange_Rate/Dashboard!G3</f>
        <v>-1.6901001579533909E-2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2.5641025641025644E-2</v>
      </c>
      <c r="D88" s="171">
        <f>C88/C86</f>
        <v>-1.7105066045070385</v>
      </c>
      <c r="E88" s="204">
        <f>H88</f>
        <v>2.5641025641025644E-2</v>
      </c>
      <c r="F88" s="171">
        <f>E88/E86</f>
        <v>-2.2794750488611966</v>
      </c>
      <c r="H88" s="176">
        <f>Inputs!F6</f>
        <v>2.5641025641025644E-2</v>
      </c>
      <c r="I88" s="171">
        <f>H88/H86</f>
        <v>-2.2794750488611966</v>
      </c>
      <c r="K88" s="24"/>
    </row>
    <row r="89" spans="1:11" ht="15" customHeight="1" x14ac:dyDescent="0.4">
      <c r="B89" s="87" t="s">
        <v>229</v>
      </c>
      <c r="C89" s="165">
        <f>C88*Exchange_Rate/Dashboard!G3</f>
        <v>3.8525411401311216E-2</v>
      </c>
      <c r="D89" s="218"/>
      <c r="E89" s="165">
        <f>E88*Exchange_Rate/Dashboard!G3</f>
        <v>3.8525411401311216E-2</v>
      </c>
      <c r="F89" s="218"/>
      <c r="H89" s="165">
        <f>H88*Exchange_Rate/Dashboard!G3</f>
        <v>3.8525411401311216E-2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8" t="s">
        <v>226</v>
      </c>
      <c r="F92" s="248"/>
      <c r="G92" s="87"/>
      <c r="H92" s="248" t="s">
        <v>225</v>
      </c>
      <c r="I92" s="248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-0.1565102852149691</v>
      </c>
      <c r="H93" s="87" t="s">
        <v>230</v>
      </c>
      <c r="I93" s="146">
        <f>FV(H87,D93,0,-(H86/C93))</f>
        <v>-0.1565102852149691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0.46932868160212249</v>
      </c>
      <c r="H94" s="87" t="s">
        <v>231</v>
      </c>
      <c r="I94" s="146">
        <f>FV(H89,D93,0,-(H88/C93))</f>
        <v>0.46932868160212249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-3172862.550039737</v>
      </c>
      <c r="E97" s="124">
        <f>PV(C94,D93,0,-F93)*Exchange_Rate</f>
        <v>-0.60561318059623903</v>
      </c>
      <c r="F97" s="124">
        <f>PV(C93,D93,0,-F93)*Exchange_Rate</f>
        <v>-0.88490876523935724</v>
      </c>
      <c r="H97" s="124">
        <f>PV(C93,D93,0,-I93)*Exchange_Rate</f>
        <v>-0.88490876523935724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-3172862.550039737</v>
      </c>
      <c r="E100" s="110">
        <f>MAX(E97-F98+F99,0)</f>
        <v>0</v>
      </c>
      <c r="F100" s="110">
        <f>MAX(F97-H98+H99,0)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9514489.0667701308</v>
      </c>
      <c r="E103" s="110">
        <f>PV(C94,D93,0,-F94)*Exchange_Rate</f>
        <v>1.8160572336808716</v>
      </c>
      <c r="F103" s="124">
        <f>PV(C93,D93,0,-F94)*Exchange_Rate</f>
        <v>2.6535832041805514</v>
      </c>
      <c r="H103" s="124">
        <f>PV(C93,D93,0,-I94)*Exchange_Rate</f>
        <v>2.6535832041805514</v>
      </c>
      <c r="I103" s="110">
        <f>H103*1.25</f>
        <v>3.3169790052256891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4757244.5333850654</v>
      </c>
      <c r="E106" s="110">
        <f>(E100+E103)/2</f>
        <v>0.90802861684043579</v>
      </c>
      <c r="F106" s="124">
        <f>(F100+F103)/2</f>
        <v>1.3267916020902757</v>
      </c>
      <c r="H106" s="124">
        <f>(H100+H103)/2</f>
        <v>1.3267916020902757</v>
      </c>
      <c r="I106" s="110">
        <f>H106*1.25</f>
        <v>1.6584895026128446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