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503833E-EC18-440C-BD83-07C73F7FBA72}" xr6:coauthVersionLast="47" xr6:coauthVersionMax="47" xr10:uidLastSave="{00000000-0000-0000-0000-000000000000}"/>
  <bookViews>
    <workbookView xWindow="1470" yWindow="1470" windowWidth="12690" windowHeight="7643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30" i="4" l="1"/>
  <c r="D29" i="4"/>
  <c r="D26" i="4"/>
  <c r="C26" i="4"/>
  <c r="D25" i="4"/>
  <c r="C25" i="4"/>
  <c r="D21" i="4"/>
  <c r="C21" i="4"/>
  <c r="D20" i="4"/>
  <c r="C20" i="4"/>
  <c r="I47" i="2" l="1"/>
  <c r="J47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E88" i="3" s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G47" i="2" s="1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47" i="2" s="1"/>
  <c r="F6" i="2"/>
  <c r="F47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7" i="2" l="1"/>
  <c r="H47" i="2"/>
  <c r="C47" i="2"/>
  <c r="J46" i="2"/>
  <c r="J22" i="2"/>
  <c r="J14" i="2"/>
  <c r="M14" i="2"/>
  <c r="M46" i="2"/>
  <c r="M22" i="2"/>
  <c r="L46" i="2"/>
  <c r="L22" i="2"/>
  <c r="L14" i="2"/>
  <c r="K15" i="2" s="1"/>
  <c r="K46" i="2"/>
  <c r="K14" i="2"/>
  <c r="J15" i="2" s="1"/>
  <c r="K22" i="2"/>
  <c r="I22" i="2"/>
  <c r="I14" i="2"/>
  <c r="I46" i="2"/>
  <c r="H46" i="2"/>
  <c r="F46" i="2"/>
  <c r="G46" i="2"/>
  <c r="G14" i="2"/>
  <c r="G22" i="2" s="1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F3" i="2" l="1"/>
  <c r="H22" i="2"/>
  <c r="M13" i="2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74" i="3"/>
  <c r="D103" i="3"/>
  <c r="I103" i="3"/>
  <c r="H53" i="2"/>
  <c r="D77" i="3"/>
  <c r="H77" i="3" s="1"/>
  <c r="D53" i="2"/>
  <c r="E24" i="2"/>
  <c r="D81" i="3"/>
  <c r="C76" i="3"/>
  <c r="C78" i="3" s="1"/>
  <c r="D82" i="3"/>
  <c r="D75" i="3"/>
  <c r="D80" i="3"/>
  <c r="D79" i="3"/>
  <c r="H79" i="3" s="1"/>
  <c r="C28" i="3"/>
  <c r="C28" i="2" s="1"/>
  <c r="H82" i="3" l="1"/>
  <c r="H75" i="3"/>
  <c r="H80" i="3"/>
  <c r="I80" i="3" s="1"/>
  <c r="E80" i="3" s="1"/>
  <c r="H81" i="3"/>
  <c r="I81" i="3" s="1"/>
  <c r="E75" i="3"/>
  <c r="F75" i="3" s="1"/>
  <c r="G24" i="2"/>
  <c r="J48" i="2"/>
  <c r="D24" i="2"/>
  <c r="L48" i="2"/>
  <c r="I77" i="3"/>
  <c r="E77" i="3" s="1"/>
  <c r="F77" i="3" s="1"/>
  <c r="F4" i="2"/>
  <c r="I75" i="3"/>
  <c r="I79" i="3"/>
  <c r="C83" i="3"/>
  <c r="C85" i="3" s="1"/>
  <c r="I82" i="3"/>
  <c r="F82" i="3" s="1"/>
  <c r="E82" i="3" s="1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<sst xmlns="http://schemas.openxmlformats.org/spreadsheetml/2006/main" count="371" uniqueCount="266">
  <si>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</si>
  <si>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</si>
  <si>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</si>
  <si>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</si>
  <si>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</si>
  <si>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</si>
  <si>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</si>
  <si>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</si>
  <si>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</si>
  <si>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</si>
  <si>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</si>
  <si>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</si>
  <si>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</si>
  <si>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</si>
  <si>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</si>
  <si>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</si>
  <si>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</si>
  <si>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</si>
  <si>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</si>
  <si>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</si>
  <si>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</si>
  <si>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</si>
  <si>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</si>
  <si>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</si>
  <si>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</si>
  <si>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</si>
  <si>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</si>
  <si>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</si>
  <si>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</si>
  <si>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</si>
  <si>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</si>
  <si>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</si>
  <si>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</si>
  <si>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</si>
  <si>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</si>
  <si>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</si>
  <si>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</si>
  <si>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</si>
  <si>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</si>
  <si>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</si>
  <si>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</si>
  <si>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</si>
  <si>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</si>
  <si>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</si>
  <si>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</si>
  <si>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</si>
  <si>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</si>
  <si>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</si>
  <si>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</si>
  <si>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</si>
  <si>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</si>
  <si>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</si>
  <si>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</si>
  <si>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</si>
  <si>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</si>
  <si>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</si>
  <si>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</si>
  <si>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</si>
  <si>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</si>
  <si>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</si>
  <si>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</si>
  <si>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</si>
  <si>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</si>
  <si>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</si>
  <si>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</si>
  <si>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</si>
  <si>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</si>
  <si>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</si>
  <si>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</si>
  <si>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</si>
  <si>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</si>
  <si>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</si>
  <si>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</si>
  <si>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</si>
  <si>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</si>
  <si>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</si>
  <si>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</si>
  <si>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</si>
  <si>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</si>
  <si>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</si>
  <si>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</si>
  <si>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</si>
  <si>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</si>
  <si>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</si>
  <si>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</si>
  <si>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</si>
  <si>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</si>
  <si>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</si>
  <si>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</si>
  <si>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</si>
  <si>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</si>
  <si>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</si>
  <si>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</si>
  <si>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</si>
  <si>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</si>
  <si>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</si>
  <si>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</si>
  <si>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</si>
  <si>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</si>
  <si>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</si>
  <si>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</si>
  <si>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</si>
  <si>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</si>
  <si>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</si>
  <si>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</si>
  <si>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</si>
  <si>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</si>
  <si>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</si>
  <si>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</si>
  <si>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</si>
  <si>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</si>
  <si>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</si>
  <si>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</si>
  <si>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</si>
  <si>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</si>
  <si>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</si>
  <si>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</si>
  <si>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</si>
  <si>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</si>
  <si>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</si>
  <si>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</si>
  <si>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</si>
  <si>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</si>
  <si>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</si>
  <si>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</si>
  <si>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</si>
  <si>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</si>
  <si>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</si>
  <si>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</si>
  <si>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</si>
  <si>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</si>
  <si>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</si>
  <si>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</si>
  <si>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</si>
  <si>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</si>
  <si>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</si>
  <si>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</si>
  <si>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</si>
  <si>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</si>
  <si>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</si>
  <si>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</si>
  <si>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</si>
  <si>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</si>
  <si>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</si>
  <si>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</si>
  <si>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</si>
  <si>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</si>
  <si>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</si>
  <si>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</si>
  <si>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</si>
  <si>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</si>
  <si>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</si>
  <si>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</si>
  <si>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</si>
  <si>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</si>
  <si>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</si>
  <si>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</si>
  <si>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</si>
  <si>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</si>
  <si>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</si>
  <si>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</si>
  <si>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</si>
  <si>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</si>
  <si>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</si>
  <si>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</si>
  <si>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</si>
  <si>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</si>
  <si>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</si>
  <si>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</si>
  <si>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</si>
  <si>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</si>
  <si>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</si>
  <si>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</si>
  <si>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</si>
  <si>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</si>
  <si>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</si>
  <si>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</si>
  <si>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</si>
  <si>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</si>
  <si>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</si>
  <si>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</si>
  <si>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</si>
  <si>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</si>
  <si>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</si>
  <si>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</si>
  <si>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</si>
  <si>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</si>
  <si>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</si>
  <si>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</si>
  <si>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</si>
  <si>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</si>
  <si>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</si>
  <si>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</si>
  <si>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</si>
  <si>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</si>
  <si>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</si>
  <si>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</si>
  <si>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</si>
  <si>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</si>
  <si>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</si>
  <si>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</si>
  <si>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</si>
  <si>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</si>
  <si>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</si>
  <si>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</si>
  <si>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</si>
  <si>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</si>
  <si>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</si>
  <si>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</si>
  <si>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</si>
  <si>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</si>
  <si>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</si>
  <si>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</si>
  <si>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</si>
  <si>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</si>
  <si>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</si>
  <si>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</si>
  <si>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</si>
  <si>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</si>
  <si>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</si>
  <si>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</si>
  <si>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</si>
  <si>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</si>
  <si>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</si>
  <si>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</si>
  <si>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</si>
  <si>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</si>
  <si>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</si>
  <si>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</si>
  <si>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</si>
  <si>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</si>
  <si>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</si>
  <si>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</si>
  <si>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</si>
  <si>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</si>
  <si>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</si>
  <si>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</si>
  <si>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</si>
  <si>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</si>
  <si>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</si>
  <si>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</si>
  <si>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</si>
  <si>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</si>
  <si>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</si>
  <si>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</si>
  <si>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</si>
  <si>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</si>
  <si>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</si>
  <si>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</si>
  <si>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</si>
  <si>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</si>
  <si>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</si>
  <si>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</si>
  <si>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</si>
  <si>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</si>
  <si>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</si>
  <si>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</si>
  <si>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</si>
  <si>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</si>
  <si>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</si>
  <si>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</si>
  <si>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</si>
  <si>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0083.HK</t>
  </si>
  <si>
    <t>SINO LAND</t>
  </si>
  <si>
    <t>C0005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</si>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</sst>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1.0724472333143184E-2</c:v>
                </c:pt>
                <c:pt idx="3">
                  <c:v>2.1700000000000001E-2</c:v>
                </c:pt>
                <c:pt idx="4">
                  <c:v>0.02</c:v>
                </c:pt>
                <c:pt idx="5">
                  <c:v>0</c:v>
                </c:pt>
                <c:pt idx="6">
                  <c:v>0.21420416428978895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topLeftCell="A38" zoomScaleNormal="100" workbookViewId="0">
      <selection activeCell="D36" sqref="D36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223</v>
      </c>
    </row>
    <row r="4" spans="1:6" ht="13.9" x14ac:dyDescent="0.4">
      <c r="B4" s="141" t="s">
        <v>202</v>
      </c>
      <c r="C4" s="192" t="s">
        <v>262</v>
      </c>
      <c r="E4" s="234" t="s">
        <v>215</v>
      </c>
      <c r="F4" s="12" t="str">
        <f>C11</f>
        <v>HKD</v>
      </c>
    </row>
    <row r="5" spans="1:6" ht="13.9" x14ac:dyDescent="0.4">
      <c r="B5" s="141" t="s">
        <v>203</v>
      </c>
      <c r="C5" s="195" t="s">
        <v>263</v>
      </c>
      <c r="E5" s="228">
        <f>C18</f>
        <v>45473</v>
      </c>
      <c r="F5" s="229">
        <v>0.57999999999999996</v>
      </c>
    </row>
    <row r="6" spans="1:6" ht="13.9" x14ac:dyDescent="0.4">
      <c r="B6" s="141" t="s">
        <v>168</v>
      </c>
      <c r="C6" s="193">
        <v>45593</v>
      </c>
      <c r="E6" s="230" t="s">
        <v>213</v>
      </c>
      <c r="F6" s="229">
        <v>0.57999999999999996</v>
      </c>
    </row>
    <row r="7" spans="1:6" ht="13.9" x14ac:dyDescent="0.4">
      <c r="B7" s="140" t="s">
        <v>4</v>
      </c>
      <c r="C7" s="194">
        <v>8</v>
      </c>
    </row>
    <row r="8" spans="1:6" ht="13.9" x14ac:dyDescent="0.4">
      <c r="B8" s="140" t="s">
        <v>224</v>
      </c>
      <c r="C8" s="195" t="s">
        <v>46</v>
      </c>
    </row>
    <row r="9" spans="1:6" ht="13.9" x14ac:dyDescent="0.4">
      <c r="B9" s="140" t="s">
        <v>225</v>
      </c>
      <c r="C9" s="196" t="s">
        <v>264</v>
      </c>
    </row>
    <row r="10" spans="1:6" ht="13.9" x14ac:dyDescent="0.4">
      <c r="B10" s="140" t="s">
        <v>226</v>
      </c>
      <c r="C10" s="197">
        <v>8171879936</v>
      </c>
    </row>
    <row r="11" spans="1:6" ht="13.9" x14ac:dyDescent="0.4">
      <c r="B11" s="140" t="s">
        <v>227</v>
      </c>
      <c r="C11" s="196" t="s">
        <v>2</v>
      </c>
    </row>
    <row r="12" spans="1:6" ht="13.9" x14ac:dyDescent="0.4">
      <c r="B12" s="224" t="s">
        <v>10</v>
      </c>
      <c r="C12" s="225">
        <v>45473</v>
      </c>
    </row>
    <row r="13" spans="1:6" ht="13.9" x14ac:dyDescent="0.4">
      <c r="B13" s="224" t="s">
        <v>11</v>
      </c>
      <c r="C13" s="226">
        <v>1000000</v>
      </c>
    </row>
    <row r="14" spans="1:6" ht="13.9" x14ac:dyDescent="0.4">
      <c r="B14" s="224" t="s">
        <v>229</v>
      </c>
      <c r="C14" s="225">
        <v>45473</v>
      </c>
    </row>
    <row r="15" spans="1:6" ht="13.9" x14ac:dyDescent="0.4">
      <c r="B15" s="224" t="s">
        <v>228</v>
      </c>
      <c r="C15" s="179" t="s">
        <v>196</v>
      </c>
    </row>
    <row r="16" spans="1:6" ht="13.9" x14ac:dyDescent="0.4">
      <c r="B16" s="231" t="s">
        <v>97</v>
      </c>
      <c r="C16" s="232">
        <v>0.20500000000000002</v>
      </c>
      <c r="D16" s="24"/>
    </row>
    <row r="18" spans="2:13" ht="13.9" x14ac:dyDescent="0.4">
      <c r="B18" s="115" t="s">
        <v>137</v>
      </c>
      <c r="C18" s="48">
        <f>C12</f>
        <v>45473</v>
      </c>
      <c r="D18" s="49">
        <f>EOMONTH(EDATE(C18,-12),0)</f>
        <v>45107</v>
      </c>
      <c r="E18" s="49">
        <f t="shared" ref="E18:M18" si="0">EOMONTH(EDATE(D18,-12),0)</f>
        <v>44742</v>
      </c>
      <c r="F18" s="49">
        <f t="shared" si="0"/>
        <v>44377</v>
      </c>
      <c r="G18" s="49">
        <f t="shared" si="0"/>
        <v>44012</v>
      </c>
      <c r="H18" s="49">
        <f t="shared" si="0"/>
        <v>43646</v>
      </c>
      <c r="I18" s="49">
        <f t="shared" si="0"/>
        <v>43281</v>
      </c>
      <c r="J18" s="49">
        <f t="shared" si="0"/>
        <v>42916</v>
      </c>
      <c r="K18" s="49">
        <f t="shared" si="0"/>
        <v>42551</v>
      </c>
      <c r="L18" s="49">
        <f t="shared" si="0"/>
        <v>42185</v>
      </c>
      <c r="M18" s="49">
        <f t="shared" si="0"/>
        <v>41820</v>
      </c>
    </row>
    <row r="19" spans="2:13" ht="13.9" x14ac:dyDescent="0.4">
      <c r="B19" s="94" t="s">
        <v>12</v>
      </c>
      <c r="C19" s="151">
        <v>8765</v>
      </c>
      <c r="D19" s="151">
        <v>11881</v>
      </c>
      <c r="E19" s="151"/>
      <c r="F19" s="151"/>
      <c r="G19" s="151"/>
      <c r="H19" s="151"/>
      <c r="I19" s="151"/>
      <c r="J19" s="151"/>
      <c r="K19" s="151"/>
      <c r="L19" s="151"/>
      <c r="M19" s="151"/>
    </row>
    <row r="20" spans="2:13" ht="13.9" x14ac:dyDescent="0.4">
      <c r="B20" s="97" t="s">
        <v>106</v>
      </c>
      <c r="C20" s="152">
        <f>2933+2411</f>
        <v>5344</v>
      </c>
      <c r="D20" s="152">
        <f>4180+2312</f>
        <v>6492</v>
      </c>
      <c r="E20" s="152"/>
      <c r="F20" s="152"/>
      <c r="G20" s="152"/>
      <c r="H20" s="152"/>
      <c r="I20" s="152"/>
      <c r="J20" s="152"/>
      <c r="K20" s="152"/>
      <c r="L20" s="152"/>
      <c r="M20" s="152"/>
    </row>
    <row r="21" spans="2:13" ht="13.9" x14ac:dyDescent="0.4">
      <c r="B21" s="97" t="s">
        <v>104</v>
      </c>
      <c r="C21" s="152">
        <f>878+206</f>
        <v>1084</v>
      </c>
      <c r="D21" s="152">
        <f>901+228</f>
        <v>1129</v>
      </c>
      <c r="E21" s="152"/>
      <c r="F21" s="152"/>
      <c r="G21" s="152"/>
      <c r="H21" s="152"/>
      <c r="I21" s="152"/>
      <c r="J21" s="152"/>
      <c r="K21" s="152"/>
      <c r="L21" s="152"/>
      <c r="M21" s="152"/>
    </row>
    <row r="22" spans="2:13" ht="13.9" x14ac:dyDescent="0.4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3.9" x14ac:dyDescent="0.4">
      <c r="B23" s="97" t="s">
        <v>124</v>
      </c>
      <c r="C23" s="152">
        <v>94</v>
      </c>
      <c r="D23" s="152">
        <v>96</v>
      </c>
      <c r="E23" s="152"/>
      <c r="F23" s="152"/>
      <c r="G23" s="152"/>
      <c r="H23" s="152"/>
      <c r="I23" s="152"/>
      <c r="J23" s="152"/>
      <c r="K23" s="152"/>
      <c r="L23" s="152"/>
      <c r="M23" s="152"/>
    </row>
    <row r="24" spans="2:13" ht="13.9" x14ac:dyDescent="0.4">
      <c r="B24" s="99" t="s">
        <v>111</v>
      </c>
      <c r="C24" s="152">
        <v>-151</v>
      </c>
      <c r="D24" s="152">
        <v>31</v>
      </c>
      <c r="E24" s="152"/>
      <c r="F24" s="152"/>
      <c r="G24" s="152"/>
      <c r="H24" s="152"/>
      <c r="I24" s="152"/>
      <c r="J24" s="152"/>
      <c r="K24" s="152"/>
      <c r="L24" s="152"/>
      <c r="M24" s="152"/>
    </row>
    <row r="25" spans="2:13" ht="13.9" x14ac:dyDescent="0.4">
      <c r="B25" s="97" t="s">
        <v>110</v>
      </c>
      <c r="C25" s="152">
        <f>-250+2912-2755-3-6+298+714</f>
        <v>910</v>
      </c>
      <c r="D25" s="152">
        <f>613+4379-4383-5-99+277+1759</f>
        <v>2541</v>
      </c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3.9" x14ac:dyDescent="0.4">
      <c r="B26" s="97" t="s">
        <v>105</v>
      </c>
      <c r="C26" s="152">
        <f>94+66</f>
        <v>160</v>
      </c>
      <c r="D26" s="152">
        <f>125+73</f>
        <v>198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3.9" x14ac:dyDescent="0.4">
      <c r="B27" s="97" t="s">
        <v>108</v>
      </c>
      <c r="C27" s="152">
        <v>69</v>
      </c>
      <c r="D27" s="152">
        <v>108</v>
      </c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3.9" x14ac:dyDescent="0.4">
      <c r="B28" s="94" t="s">
        <v>15</v>
      </c>
      <c r="C28" s="223"/>
      <c r="D28" s="152">
        <v>67641</v>
      </c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4" t="s">
        <v>117</v>
      </c>
      <c r="C29" s="223"/>
      <c r="D29" s="152">
        <f>2256+3096+32+1757+110</f>
        <v>7251</v>
      </c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3.9" x14ac:dyDescent="0.4">
      <c r="B30" s="94" t="s">
        <v>152</v>
      </c>
      <c r="C30" s="223"/>
      <c r="D30" s="152">
        <f>9433+6947+9</f>
        <v>16389</v>
      </c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3.9" x14ac:dyDescent="0.4">
      <c r="B31" s="94" t="s">
        <v>16</v>
      </c>
      <c r="C31" s="223"/>
      <c r="D31" s="152">
        <v>10902</v>
      </c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3.9" x14ac:dyDescent="0.4">
      <c r="B32" s="94" t="s">
        <v>116</v>
      </c>
      <c r="C32" s="223"/>
      <c r="D32" s="152">
        <v>5263</v>
      </c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3.9" x14ac:dyDescent="0.4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141</v>
      </c>
      <c r="C35" s="223"/>
      <c r="D35" s="152">
        <v>163105</v>
      </c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142</v>
      </c>
      <c r="C36" s="223"/>
      <c r="D36" s="152">
        <v>756</v>
      </c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3.9" x14ac:dyDescent="0.4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3.9" x14ac:dyDescent="0.4">
      <c r="B40" s="3" t="s">
        <v>38</v>
      </c>
      <c r="C40" s="59">
        <v>45574</v>
      </c>
      <c r="D40" s="60">
        <v>0.9</v>
      </c>
      <c r="E40" s="112"/>
    </row>
    <row r="41" spans="2:13" ht="13.9" x14ac:dyDescent="0.4">
      <c r="B41" s="1" t="s">
        <v>139</v>
      </c>
      <c r="C41" s="59">
        <v>843</v>
      </c>
      <c r="D41" s="60">
        <v>0.8</v>
      </c>
      <c r="E41" s="112"/>
    </row>
    <row r="42" spans="2:13" ht="13.9" x14ac:dyDescent="0.4">
      <c r="B42" s="3" t="s">
        <v>117</v>
      </c>
      <c r="C42" s="59">
        <v>8192</v>
      </c>
      <c r="D42" s="60">
        <f>D43</f>
        <v>0.6</v>
      </c>
      <c r="E42" s="112"/>
    </row>
    <row r="43" spans="2:13" ht="13.9" x14ac:dyDescent="0.4">
      <c r="B43" s="3" t="s">
        <v>42</v>
      </c>
      <c r="C43" s="59">
        <v>13</v>
      </c>
      <c r="D43" s="60">
        <v>0.6</v>
      </c>
      <c r="E43" s="112"/>
    </row>
    <row r="44" spans="2:13" ht="13.9" x14ac:dyDescent="0.4">
      <c r="B44" s="3" t="s">
        <v>44</v>
      </c>
      <c r="C44" s="59">
        <v>6</v>
      </c>
      <c r="D44" s="60">
        <v>0.5</v>
      </c>
      <c r="E44" s="112"/>
    </row>
    <row r="45" spans="2:13" ht="13.9" x14ac:dyDescent="0.4">
      <c r="B45" s="1" t="s">
        <v>163</v>
      </c>
      <c r="C45" s="59">
        <v>0</v>
      </c>
      <c r="D45" s="60">
        <f>D42</f>
        <v>0.6</v>
      </c>
      <c r="E45" s="112"/>
    </row>
    <row r="46" spans="2:13" ht="13.9" x14ac:dyDescent="0.4">
      <c r="B46" s="3" t="s">
        <v>118</v>
      </c>
      <c r="C46" s="59">
        <v>0</v>
      </c>
      <c r="D46" s="60">
        <v>0.1</v>
      </c>
      <c r="E46" s="112"/>
    </row>
    <row r="47" spans="2:13" ht="13.9" x14ac:dyDescent="0.4">
      <c r="B47" s="3" t="s">
        <v>47</v>
      </c>
      <c r="C47" s="59">
        <v>6401</v>
      </c>
      <c r="D47" s="60">
        <f>D44</f>
        <v>0.5</v>
      </c>
      <c r="E47" s="112"/>
    </row>
    <row r="48" spans="2:13" ht="13.9" x14ac:dyDescent="0.4">
      <c r="B48" s="1" t="s">
        <v>48</v>
      </c>
      <c r="C48" s="59">
        <v>0</v>
      </c>
      <c r="D48" s="60">
        <f>D42</f>
        <v>0.6</v>
      </c>
      <c r="E48" s="227" t="s">
        <v>46</v>
      </c>
    </row>
    <row r="49" spans="2:5" ht="13.9" x14ac:dyDescent="0.4">
      <c r="B49" s="3" t="s">
        <v>120</v>
      </c>
      <c r="C49" s="59">
        <v>9403</v>
      </c>
      <c r="D49" s="60">
        <v>0.6</v>
      </c>
      <c r="E49" s="227" t="s">
        <v>46</v>
      </c>
    </row>
    <row r="50" spans="2:5" ht="13.9" x14ac:dyDescent="0.4">
      <c r="B50" s="3" t="s">
        <v>50</v>
      </c>
      <c r="C50" s="59">
        <v>3</v>
      </c>
      <c r="D50" s="60">
        <f>D40</f>
        <v>0.9</v>
      </c>
      <c r="E50" s="112"/>
    </row>
    <row r="51" spans="2:5" ht="13.9" x14ac:dyDescent="0.4">
      <c r="B51" s="35" t="s">
        <v>51</v>
      </c>
      <c r="C51" s="120">
        <v>0</v>
      </c>
      <c r="D51" s="199">
        <f>D62</f>
        <v>0.05</v>
      </c>
      <c r="E51" s="112"/>
    </row>
    <row r="52" spans="2:5" ht="13.9" x14ac:dyDescent="0.4">
      <c r="B52" s="3" t="s">
        <v>61</v>
      </c>
      <c r="C52" s="59">
        <v>0</v>
      </c>
      <c r="D52" s="60">
        <f>D41</f>
        <v>0.8</v>
      </c>
      <c r="E52" s="112"/>
    </row>
    <row r="53" spans="2:5" ht="13.9" x14ac:dyDescent="0.4">
      <c r="B53" s="3" t="s">
        <v>63</v>
      </c>
      <c r="C53" s="59">
        <v>1241</v>
      </c>
      <c r="D53" s="60">
        <f>D43</f>
        <v>0.6</v>
      </c>
      <c r="E53" s="112"/>
    </row>
    <row r="54" spans="2:5" ht="13.9" x14ac:dyDescent="0.4">
      <c r="B54" s="3" t="s">
        <v>65</v>
      </c>
      <c r="C54" s="59">
        <v>69365</v>
      </c>
      <c r="D54" s="60">
        <f>D44</f>
        <v>0.5</v>
      </c>
      <c r="E54" s="112"/>
    </row>
    <row r="55" spans="2:5" ht="13.9" x14ac:dyDescent="0.4">
      <c r="B55" s="1" t="s">
        <v>164</v>
      </c>
      <c r="C55" s="59">
        <v>0</v>
      </c>
      <c r="D55" s="60">
        <f>D54</f>
        <v>0.5</v>
      </c>
      <c r="E55" s="112"/>
    </row>
    <row r="56" spans="2:5" ht="13.9" x14ac:dyDescent="0.4">
      <c r="B56" s="3" t="s">
        <v>68</v>
      </c>
      <c r="C56" s="59">
        <v>13047</v>
      </c>
      <c r="D56" s="60">
        <v>0.4</v>
      </c>
      <c r="E56" s="112"/>
    </row>
    <row r="57" spans="2:5" ht="13.9" x14ac:dyDescent="0.4">
      <c r="B57" s="3" t="s">
        <v>70</v>
      </c>
      <c r="C57" s="59">
        <v>23342</v>
      </c>
      <c r="D57" s="60">
        <v>0.1</v>
      </c>
      <c r="E57" s="227" t="s">
        <v>71</v>
      </c>
    </row>
    <row r="58" spans="2:5" ht="13.9" x14ac:dyDescent="0.4">
      <c r="B58" s="3" t="s">
        <v>72</v>
      </c>
      <c r="C58" s="59">
        <v>1641</v>
      </c>
      <c r="D58" s="60">
        <v>0.2</v>
      </c>
      <c r="E58" s="227" t="s">
        <v>71</v>
      </c>
    </row>
    <row r="59" spans="2:5" ht="13.9" x14ac:dyDescent="0.4">
      <c r="B59" s="1" t="s">
        <v>49</v>
      </c>
      <c r="C59" s="59">
        <v>0</v>
      </c>
      <c r="D59" s="60">
        <f>D57</f>
        <v>0.1</v>
      </c>
      <c r="E59" s="227" t="s">
        <v>46</v>
      </c>
    </row>
    <row r="60" spans="2:5" ht="13.9" x14ac:dyDescent="0.4">
      <c r="B60" s="3" t="s">
        <v>119</v>
      </c>
      <c r="C60" s="59">
        <v>1263</v>
      </c>
      <c r="D60" s="60">
        <f>D57</f>
        <v>0.1</v>
      </c>
      <c r="E60" s="112"/>
    </row>
    <row r="61" spans="2:5" ht="13.9" x14ac:dyDescent="0.4">
      <c r="B61" s="3" t="s">
        <v>73</v>
      </c>
      <c r="C61" s="59">
        <v>0</v>
      </c>
      <c r="D61" s="60">
        <f>D62</f>
        <v>0.05</v>
      </c>
      <c r="E61" s="112"/>
    </row>
    <row r="62" spans="2:5" ht="13.9" x14ac:dyDescent="0.4">
      <c r="B62" s="3" t="s">
        <v>74</v>
      </c>
      <c r="C62" s="59">
        <v>0</v>
      </c>
      <c r="D62" s="60">
        <v>0.05</v>
      </c>
      <c r="E62" s="112"/>
    </row>
    <row r="63" spans="2:5" ht="13.9" x14ac:dyDescent="0.4">
      <c r="B63" s="3" t="s">
        <v>75</v>
      </c>
      <c r="C63" s="59">
        <v>10</v>
      </c>
      <c r="D63" s="60">
        <f>D50</f>
        <v>0.9</v>
      </c>
      <c r="E63" s="112"/>
    </row>
    <row r="64" spans="2:5" ht="13.9" x14ac:dyDescent="0.4">
      <c r="B64" s="3" t="s">
        <v>76</v>
      </c>
      <c r="C64" s="59">
        <v>0</v>
      </c>
      <c r="D64" s="60">
        <v>0</v>
      </c>
      <c r="E64" s="112"/>
    </row>
    <row r="65" spans="2:3" ht="13.5" x14ac:dyDescent="0.35">
      <c r="B65" s="200" t="s">
        <v>37</v>
      </c>
      <c r="C65" s="198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>
        <v>20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0"/>
    </row>
    <row r="70" spans="2:3" ht="14.25" thickBot="1" x14ac:dyDescent="0.45">
      <c r="B70" s="80" t="s">
        <v>16</v>
      </c>
      <c r="C70" s="83">
        <v>7818</v>
      </c>
    </row>
    <row r="71" spans="2:3" ht="14.25" thickTop="1" x14ac:dyDescent="0.4">
      <c r="B71" s="3" t="s">
        <v>62</v>
      </c>
      <c r="C71" s="59">
        <v>832</v>
      </c>
    </row>
    <row r="72" spans="2:3" ht="13.9" x14ac:dyDescent="0.4">
      <c r="B72" s="3" t="s">
        <v>64</v>
      </c>
      <c r="C72" s="59">
        <v>15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0"/>
    </row>
    <row r="75" spans="2:3" ht="14.25" thickBot="1" x14ac:dyDescent="0.45">
      <c r="B75" s="80" t="s">
        <v>85</v>
      </c>
      <c r="C75" s="83">
        <v>6210</v>
      </c>
    </row>
    <row r="76" spans="2:3" ht="14.25" thickTop="1" x14ac:dyDescent="0.4">
      <c r="B76" s="73" t="s">
        <v>230</v>
      </c>
      <c r="C76" s="59">
        <v>165790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202</v>
      </c>
      <c r="C3" s="252" t="str">
        <f>Inputs!C4</f>
        <v>0083.HK</v>
      </c>
      <c r="D3" s="253"/>
      <c r="E3" s="87"/>
      <c r="F3" s="3" t="s">
        <v>1</v>
      </c>
      <c r="G3" s="132">
        <v>7.8499999046325684</v>
      </c>
      <c r="H3" s="134" t="s">
        <v>2</v>
      </c>
    </row>
    <row r="4" spans="1:10" ht="15.75" customHeight="1" x14ac:dyDescent="0.4">
      <c r="B4" s="35" t="s">
        <v>203</v>
      </c>
      <c r="C4" s="254" t="str">
        <f>Inputs!C5</f>
        <v>SINO LAND</v>
      </c>
      <c r="D4" s="255"/>
      <c r="E4" s="87"/>
      <c r="F4" s="3" t="s">
        <v>3</v>
      </c>
      <c r="G4" s="258">
        <f>Inputs!C10</f>
        <v>8171879936</v>
      </c>
      <c r="H4" s="258"/>
      <c r="I4" s="39"/>
    </row>
    <row r="5" spans="1:10" ht="15.75" customHeight="1" x14ac:dyDescent="0.4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64149.2567182688</v>
      </c>
      <c r="H5" s="250"/>
      <c r="I5" s="38"/>
      <c r="J5" s="28"/>
    </row>
    <row r="6" spans="1:10" ht="15.75" customHeight="1" x14ac:dyDescent="0.4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4">
      <c r="B7" s="86" t="s">
        <v>200</v>
      </c>
      <c r="C7" s="191" t="str">
        <f>Inputs!C8</f>
        <v>Y</v>
      </c>
      <c r="D7" s="191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198</v>
      </c>
      <c r="F9" s="143" t="s">
        <v>192</v>
      </c>
    </row>
    <row r="10" spans="1:10" ht="15.75" customHeight="1" x14ac:dyDescent="0.4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45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4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4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45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4">
      <c r="B17" s="87" t="s">
        <v>187</v>
      </c>
      <c r="C17" s="178">
        <v>7.1999999999999995E-2</v>
      </c>
      <c r="D17" s="179"/>
    </row>
    <row r="18" spans="1:8" ht="15.75" customHeight="1" x14ac:dyDescent="0.4"/>
    <row r="19" spans="1:8" ht="15.75" customHeight="1" x14ac:dyDescent="0.4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4">
      <c r="B20" s="137" t="s">
        <v>174</v>
      </c>
      <c r="C20" s="174">
        <f>Fin_Analysis!I75</f>
        <v>0.60969766115231028</v>
      </c>
      <c r="F20" s="87" t="s">
        <v>219</v>
      </c>
      <c r="G20" s="175">
        <v>0.15</v>
      </c>
    </row>
    <row r="21" spans="1:8" ht="15.75" customHeight="1" x14ac:dyDescent="0.4">
      <c r="B21" s="137" t="s">
        <v>258</v>
      </c>
      <c r="C21" s="174">
        <f>Fin_Analysis!I77</f>
        <v>0.12367370222475756</v>
      </c>
      <c r="F21" s="87"/>
      <c r="G21" s="29"/>
    </row>
    <row r="22" spans="1:8" ht="15.75" customHeight="1" x14ac:dyDescent="0.4">
      <c r="B22" s="137" t="s">
        <v>175</v>
      </c>
      <c r="C22" s="174">
        <f>Fin_Analysis!I79</f>
        <v>1.0724472333143184E-2</v>
      </c>
      <c r="F22" s="142" t="s">
        <v>191</v>
      </c>
    </row>
    <row r="23" spans="1:8" ht="15.75" customHeight="1" x14ac:dyDescent="0.4">
      <c r="B23" s="137" t="s">
        <v>257</v>
      </c>
      <c r="C23" s="174">
        <f>Fin_Analysis!I80</f>
        <v>2.1700000000000001E-2</v>
      </c>
      <c r="F23" s="140" t="s">
        <v>195</v>
      </c>
      <c r="G23" s="180">
        <f>G3/(Data!C36*Data!C4/Common_Shares*Exchange_Rate)</f>
        <v>0.38570706798064408</v>
      </c>
    </row>
    <row r="24" spans="1:8" ht="15.75" customHeight="1" x14ac:dyDescent="0.4">
      <c r="B24" s="137" t="s">
        <v>176</v>
      </c>
      <c r="C24" s="174">
        <f>Fin_Analysis!I81</f>
        <v>0.02</v>
      </c>
      <c r="F24" s="140" t="s">
        <v>180</v>
      </c>
      <c r="G24" s="181">
        <f>(Fin_Analysis!H86*G7)/G3</f>
        <v>2.7921360505645736E-2</v>
      </c>
    </row>
    <row r="25" spans="1:8" ht="15.75" customHeight="1" x14ac:dyDescent="0.4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2.6461945219733782</v>
      </c>
    </row>
    <row r="26" spans="1:8" ht="15.75" customHeight="1" x14ac:dyDescent="0.4">
      <c r="B26" s="138" t="s">
        <v>178</v>
      </c>
      <c r="C26" s="174">
        <f>Fin_Analysis!I83</f>
        <v>0.21420416428978895</v>
      </c>
      <c r="F26" s="141" t="s">
        <v>201</v>
      </c>
      <c r="G26" s="181">
        <f>Fin_Analysis!H88*Exchange_Rate/G3</f>
        <v>7.3885351216083583E-2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4">
      <c r="B29" s="87" t="s">
        <v>173</v>
      </c>
      <c r="C29" s="130">
        <f>IF(Fin_Analysis!C108="Profit",Fin_Analysis!E100,IF(Fin_Analysis!C108="Dividend",Fin_Analysis!D103,Fin_Analysis!D106))</f>
        <v>7.7500865308547811</v>
      </c>
      <c r="D29" s="129">
        <f>IF(Fin_Analysis!C108="Profit",Fin_Analysis!I100,IF(Fin_Analysis!C108="Dividend",Fin_Analysis!I103,Fin_Analysis!I106))</f>
        <v>11.397186074786443</v>
      </c>
      <c r="E29" s="87"/>
      <c r="F29" s="131">
        <f>IF(Fin_Analysis!C108="Profit",Fin_Analysis!F100,IF(Fin_Analysis!C108="Dividend",Fin_Analysis!F103,Fin_Analysis!F106))</f>
        <v>9.1177488598291543</v>
      </c>
      <c r="G29" s="249">
        <f>IF(Fin_Analysis!C108="Profit",Fin_Analysis!E100,IF(Fin_Analysis!C108="Dividend",Fin_Analysis!E103,Fin_Analysis!E106))</f>
        <v>9.1177488598291543</v>
      </c>
      <c r="H29" s="249"/>
    </row>
    <row r="30" spans="1:8" ht="15.75" customHeight="1" x14ac:dyDescent="0.4"/>
    <row r="31" spans="1:8" ht="15.75" customHeight="1" x14ac:dyDescent="0.4">
      <c r="A31" s="5"/>
      <c r="B31" s="6" t="s">
        <v>232</v>
      </c>
      <c r="C31"/>
    </row>
    <row r="32" spans="1:8" ht="15.75" customHeight="1" x14ac:dyDescent="0.4">
      <c r="A32"/>
      <c r="B32" s="200" t="s">
        <v>233</v>
      </c>
      <c r="C32" s="235"/>
    </row>
    <row r="33" spans="1:3" ht="15.75" customHeight="1" x14ac:dyDescent="0.4">
      <c r="A33"/>
      <c r="B33" s="20" t="s">
        <v>234</v>
      </c>
      <c r="C33" s="236" t="s">
        <v>242</v>
      </c>
    </row>
    <row r="34" spans="1:3" ht="15.75" customHeight="1" x14ac:dyDescent="0.4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200" t="s">
        <v>236</v>
      </c>
      <c r="C35" s="235"/>
    </row>
    <row r="36" spans="1:3" ht="15.75" customHeight="1" x14ac:dyDescent="0.4">
      <c r="A36"/>
      <c r="B36" s="20" t="s">
        <v>252</v>
      </c>
      <c r="C36" s="236" t="s">
        <v>259</v>
      </c>
    </row>
    <row r="37" spans="1:3" ht="15.75" customHeight="1" x14ac:dyDescent="0.4">
      <c r="A37"/>
      <c r="B37" s="20" t="s">
        <v>253</v>
      </c>
      <c r="C37" s="236" t="s">
        <v>243</v>
      </c>
    </row>
    <row r="38" spans="1:3" ht="15.75" customHeight="1" x14ac:dyDescent="0.4">
      <c r="A38"/>
      <c r="B38" s="200" t="s">
        <v>237</v>
      </c>
      <c r="C38" s="235"/>
    </row>
    <row r="39" spans="1:3" ht="15.75" customHeight="1" x14ac:dyDescent="0.4">
      <c r="A39"/>
      <c r="B39" s="19" t="s">
        <v>238</v>
      </c>
      <c r="C39" s="236" t="s">
        <v>243</v>
      </c>
    </row>
    <row r="40" spans="1:3" ht="15.75" customHeight="1" x14ac:dyDescent="0.4">
      <c r="A40"/>
      <c r="B40" s="1" t="s">
        <v>244</v>
      </c>
      <c r="C40" s="236" t="s">
        <v>242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239</v>
      </c>
      <c r="C42"/>
    </row>
    <row r="43" spans="1:3" ht="65.650000000000006" x14ac:dyDescent="0.4">
      <c r="A43"/>
      <c r="B43" s="238" t="s">
        <v>240</v>
      </c>
      <c r="C43" s="239" t="s">
        <v>241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50" sqref="D5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7">
        <f>Inputs!C12</f>
        <v>45473</v>
      </c>
      <c r="E3" s="148" t="s">
        <v>208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8" t="s">
        <v>209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137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6">
        <f>IF(Inputs!C19=""," ",Inputs!C19)</f>
        <v>8765</v>
      </c>
      <c r="D6" s="206">
        <f>IF(Inputs!D19="","",Inputs!D19)</f>
        <v>11881</v>
      </c>
      <c r="E6" s="206" t="str">
        <f>IF(Inputs!E19="","",Inputs!E19)</f>
        <v/>
      </c>
      <c r="F6" s="206" t="str">
        <f>IF(Inputs!F19="","",Inputs!F19)</f>
        <v/>
      </c>
      <c r="G6" s="206" t="str">
        <f>IF(Inputs!G19="","",Inputs!G19)</f>
        <v/>
      </c>
      <c r="H6" s="206" t="str">
        <f>IF(Inputs!H19="","",Inputs!H19)</f>
        <v/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5">
        <f>IF(Inputs!C20="","",Inputs!C20)</f>
        <v>5344</v>
      </c>
      <c r="D8" s="205">
        <f>IF(Inputs!D20="","",Inputs!D20)</f>
        <v>6492</v>
      </c>
      <c r="E8" s="205" t="str">
        <f>IF(Inputs!E20="","",Inputs!E20)</f>
        <v/>
      </c>
      <c r="F8" s="205" t="str">
        <f>IF(Inputs!F20="","",Inputs!F20)</f>
        <v/>
      </c>
      <c r="G8" s="205" t="str">
        <f>IF(Inputs!G20="","",Inputs!G20)</f>
        <v/>
      </c>
      <c r="H8" s="205" t="str">
        <f>IF(Inputs!H20="","",Inputs!H20)</f>
        <v/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3421</v>
      </c>
      <c r="D9" s="153">
        <f t="shared" si="2"/>
        <v>5389</v>
      </c>
      <c r="E9" s="153" t="str">
        <f t="shared" si="2"/>
        <v/>
      </c>
      <c r="F9" s="153" t="str">
        <f t="shared" si="2"/>
        <v/>
      </c>
      <c r="G9" s="153" t="str">
        <f t="shared" si="2"/>
        <v/>
      </c>
      <c r="H9" s="153" t="str">
        <f t="shared" si="2"/>
        <v/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5">
        <f>IF(Inputs!C21="","",Inputs!C21)</f>
        <v>1084</v>
      </c>
      <c r="D10" s="205">
        <f>IF(Inputs!D21="","",Inputs!D21)</f>
        <v>1129</v>
      </c>
      <c r="E10" s="205" t="str">
        <f>IF(Inputs!E21="","",Inputs!E21)</f>
        <v/>
      </c>
      <c r="F10" s="205" t="str">
        <f>IF(Inputs!F21="","",Inputs!F21)</f>
        <v/>
      </c>
      <c r="G10" s="205" t="str">
        <f>IF(Inputs!G21="","",Inputs!G21)</f>
        <v/>
      </c>
      <c r="H10" s="205" t="str">
        <f>IF(Inputs!H21="","",Inputs!H21)</f>
        <v/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4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4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38.9937106918239</v>
      </c>
      <c r="E12" s="205" t="str">
        <f>IF(Inputs!E24="","",MAX(Inputs!E24,0)/(1-Fin_Analysis!$I$84))</f>
        <v/>
      </c>
      <c r="F12" s="205" t="str">
        <f>IF(Inputs!F24="","",MAX(Inputs!F24,0)/(1-Fin_Analysis!$I$84))</f>
        <v/>
      </c>
      <c r="G12" s="205" t="str">
        <f>IF(Inputs!G24="","",MAX(Inputs!G24,0)/(1-Fin_Analysis!$I$84))</f>
        <v/>
      </c>
      <c r="H12" s="205" t="str">
        <f>IF(Inputs!H24="","",MAX(Inputs!H24,0)/(1-Fin_Analysis!$I$84))</f>
        <v/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4">
      <c r="A13" s="4"/>
      <c r="B13" s="241" t="s">
        <v>255</v>
      </c>
      <c r="C13" s="242">
        <f t="shared" ref="C13:M13" si="3">IF(C14="","",C14/C6)</f>
        <v>0.26662863662293212</v>
      </c>
      <c r="D13" s="242">
        <f t="shared" si="3"/>
        <v>0.35527365451630133</v>
      </c>
      <c r="E13" s="242" t="str">
        <f t="shared" si="3"/>
        <v/>
      </c>
      <c r="F13" s="242" t="str">
        <f t="shared" si="3"/>
        <v/>
      </c>
      <c r="G13" s="242" t="str">
        <f t="shared" si="3"/>
        <v/>
      </c>
      <c r="H13" s="242" t="str">
        <f t="shared" si="3"/>
        <v/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4">
      <c r="A14" s="4"/>
      <c r="B14" s="241" t="s">
        <v>246</v>
      </c>
      <c r="C14" s="243">
        <f>IF(C6="","",C9-C10-MAX(C11,0)-MAX(C12,0))</f>
        <v>2337</v>
      </c>
      <c r="D14" s="243">
        <f t="shared" ref="D14:M14" si="4">IF(D6="","",D9-D10-MAX(D11,0)-MAX(D12,0))</f>
        <v>4221.0062893081758</v>
      </c>
      <c r="E14" s="243" t="str">
        <f t="shared" si="4"/>
        <v/>
      </c>
      <c r="F14" s="243" t="str">
        <f t="shared" si="4"/>
        <v/>
      </c>
      <c r="G14" s="243" t="str">
        <f t="shared" si="4"/>
        <v/>
      </c>
      <c r="H14" s="243" t="str">
        <f t="shared" si="4"/>
        <v/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4">
      <c r="A15" s="4"/>
      <c r="B15" s="244" t="s">
        <v>256</v>
      </c>
      <c r="C15" s="245">
        <f>IF(D14="","",IF(ABS(C14+D14)=ABS(C14)+ABS(D14),IF(C14&lt;0,-1,1)*(C14-D14)/D14,"Turn"))</f>
        <v>-0.44634055487677682</v>
      </c>
      <c r="D15" s="245" t="str">
        <f t="shared" ref="D15:M15" si="5">IF(E14="","",IF(ABS(D14+E14)=ABS(D14)+ABS(E14),IF(D14&lt;0,-1,1)*(D14-E14)/E14,"Turn"))</f>
        <v/>
      </c>
      <c r="E15" s="245" t="str">
        <f t="shared" si="5"/>
        <v/>
      </c>
      <c r="F15" s="245" t="str">
        <f t="shared" si="5"/>
        <v/>
      </c>
      <c r="G15" s="245" t="str">
        <f t="shared" si="5"/>
        <v/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5">
        <f>IF(Inputs!C25="","",Inputs!C25)</f>
        <v>910</v>
      </c>
      <c r="D16" s="205">
        <f>IF(Inputs!D25="","",Inputs!D25)</f>
        <v>2541</v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4">
      <c r="A17" s="4"/>
      <c r="B17" s="97" t="s">
        <v>124</v>
      </c>
      <c r="C17" s="205">
        <f>IF(Inputs!C23="","",Inputs!C23)</f>
        <v>94</v>
      </c>
      <c r="D17" s="205">
        <f>IF(Inputs!D23="","",Inputs!D23)</f>
        <v>96</v>
      </c>
      <c r="E17" s="205" t="str">
        <f>IF(Inputs!E23="","",Inputs!E23)</f>
        <v/>
      </c>
      <c r="F17" s="205" t="str">
        <f>IF(Inputs!F23="","",Inputs!F23)</f>
        <v/>
      </c>
      <c r="G17" s="205" t="str">
        <f>IF(Inputs!G23="","",Inputs!G23)</f>
        <v/>
      </c>
      <c r="H17" s="205" t="str">
        <f>IF(Inputs!H23="","",Inputs!H23)</f>
        <v/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1.825442099258414E-2</v>
      </c>
      <c r="D18" s="154">
        <f t="shared" si="6"/>
        <v>1.6665263866677889E-2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5">
        <f>IF(Inputs!C26="","",Inputs!C26)</f>
        <v>160</v>
      </c>
      <c r="D19" s="205">
        <f>IF(Inputs!D26="","",Inputs!D26)</f>
        <v>198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4">
      <c r="A20" s="4"/>
      <c r="B20" s="97" t="s">
        <v>248</v>
      </c>
      <c r="C20" s="154">
        <f t="shared" ref="C20:M20" si="7">IF(C6="","",MAX(C21,0)/C6)</f>
        <v>7.8722190530519116E-3</v>
      </c>
      <c r="D20" s="154">
        <f t="shared" si="7"/>
        <v>9.0901439272788494E-3</v>
      </c>
      <c r="E20" s="154" t="str">
        <f t="shared" si="7"/>
        <v/>
      </c>
      <c r="F20" s="154" t="str">
        <f t="shared" si="7"/>
        <v/>
      </c>
      <c r="G20" s="154" t="str">
        <f t="shared" si="7"/>
        <v/>
      </c>
      <c r="H20" s="154" t="str">
        <f t="shared" si="7"/>
        <v/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5">
        <f>IF(Inputs!C27="","",Inputs!C27)</f>
        <v>69</v>
      </c>
      <c r="D21" s="205">
        <f>IF(Inputs!D27="","",Inputs!D27)</f>
        <v>108</v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4">
      <c r="A22" s="4"/>
      <c r="B22" s="98" t="s">
        <v>112</v>
      </c>
      <c r="C22" s="163">
        <f>IF(C6="","",C14-MAX(C16,0)-MAX(C17,0)-ABS(MAX(C21,0)-MAX(C19,0)))</f>
        <v>1242</v>
      </c>
      <c r="D22" s="163">
        <f t="shared" ref="D22:M22" si="8">IF(D6="","",D14-MAX(D16,0)-MAX(D17,0)-MAX(MAX(D21,0)-MAX(D19,0),0))</f>
        <v>1584.0062893081758</v>
      </c>
      <c r="E22" s="163" t="str">
        <f t="shared" si="8"/>
        <v/>
      </c>
      <c r="F22" s="163" t="str">
        <f t="shared" si="8"/>
        <v/>
      </c>
      <c r="G22" s="163" t="str">
        <f t="shared" si="8"/>
        <v/>
      </c>
      <c r="H22" s="163" t="str">
        <f t="shared" si="8"/>
        <v/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0.11265145464917284</v>
      </c>
      <c r="D23" s="155">
        <f t="shared" si="9"/>
        <v>0.10599149903206798</v>
      </c>
      <c r="E23" s="155" t="str">
        <f t="shared" si="9"/>
        <v/>
      </c>
      <c r="F23" s="155" t="str">
        <f t="shared" si="9"/>
        <v/>
      </c>
      <c r="G23" s="155" t="str">
        <f t="shared" si="9"/>
        <v/>
      </c>
      <c r="H23" s="155" t="str">
        <f t="shared" si="9"/>
        <v/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987.38999999999987</v>
      </c>
      <c r="D24" s="77">
        <f>IF(D6="","",D22*(1-Fin_Analysis!$I$84))</f>
        <v>1259.2849999999996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47" t="s">
        <v>131</v>
      </c>
      <c r="C25" s="246">
        <f>IF(D24="","",IF(ABS(C24+D24)=ABS(C24)+ABS(D24),IF(C24&lt;0,-1,1)*(C24-D24)/D24,"Turn"))</f>
        <v>-0.21591220414759155</v>
      </c>
      <c r="D25" s="246" t="str">
        <f t="shared" ref="D25:M25" si="10">IF(E24="","",IF(ABS(D24+E24)=ABS(D24)+ABS(E24),IF(D24&lt;0,-1,1)*(D24-E24)/E24,"Turn"))</f>
        <v/>
      </c>
      <c r="E25" s="246" t="str">
        <f t="shared" si="10"/>
        <v/>
      </c>
      <c r="F25" s="246" t="str">
        <f t="shared" si="10"/>
        <v/>
      </c>
      <c r="G25" s="246" t="str">
        <f t="shared" si="10"/>
        <v/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4">
      <c r="A26" s="16"/>
      <c r="B26" s="114" t="s">
        <v>138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5">
        <f>IF(Inputs!D28="","",Inputs!D28)</f>
        <v>67641</v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5">
        <f>IF(Inputs!D29="","",Inputs!D29)</f>
        <v>7251</v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4">
      <c r="A30" s="4"/>
      <c r="B30" s="94" t="s">
        <v>152</v>
      </c>
      <c r="C30" s="65">
        <f>Fin_Analysis!C18</f>
        <v>6401</v>
      </c>
      <c r="D30" s="205">
        <f>IF(Inputs!D30="","",Inputs!D30)</f>
        <v>16389</v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5">
        <f>IF(Inputs!D31="","",Inputs!D31)</f>
        <v>10902</v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5">
        <f>IF(Inputs!D32="","",Inputs!D32)</f>
        <v>5263</v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141</v>
      </c>
      <c r="C36" s="65">
        <f>Fin_Analysis!D3</f>
        <v>166316</v>
      </c>
      <c r="D36" s="205">
        <f>IF(Inputs!D35="","",Inputs!D35)</f>
        <v>163105</v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4">
      <c r="A37" s="4"/>
      <c r="B37" s="94" t="s">
        <v>142</v>
      </c>
      <c r="C37" s="65">
        <f>Fin_Analysis!D4</f>
        <v>526</v>
      </c>
      <c r="D37" s="205">
        <f>IF(Inputs!D36="","",Inputs!D36)</f>
        <v>756</v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4">
      <c r="A38" s="4"/>
      <c r="B38" s="94" t="s">
        <v>140</v>
      </c>
      <c r="C38" s="65">
        <f>Fin_Analysis!C63</f>
        <v>141182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4">
      <c r="A39" s="4"/>
      <c r="B39" s="94" t="s">
        <v>144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162</v>
      </c>
      <c r="C40" s="157">
        <f>IF(C6="","",C14/MAX(C39,0))</f>
        <v>5.9675195342423777E-2</v>
      </c>
      <c r="D40" s="157" t="e">
        <f>IF(D6="","",D14/MAX(D39,0))</f>
        <v>#DIV/0!</v>
      </c>
      <c r="E40" s="157" t="str">
        <f>IF(E6="","",E14/MAX(E39,0))</f>
        <v/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0.60969766115231028</v>
      </c>
      <c r="D42" s="158">
        <f t="shared" si="34"/>
        <v>0.54641865162865078</v>
      </c>
      <c r="E42" s="158" t="str">
        <f t="shared" si="34"/>
        <v/>
      </c>
      <c r="F42" s="158" t="str">
        <f t="shared" si="34"/>
        <v/>
      </c>
      <c r="G42" s="158" t="str">
        <f t="shared" si="34"/>
        <v/>
      </c>
      <c r="H42" s="158" t="str">
        <f t="shared" si="34"/>
        <v/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247</v>
      </c>
      <c r="C43" s="155">
        <f t="shared" ref="C43:M43" si="35">IF(C6="","",(C10+MAX(C11,0))/C6)</f>
        <v>0.12367370222475756</v>
      </c>
      <c r="D43" s="155">
        <f t="shared" si="35"/>
        <v>9.5025671239794635E-2</v>
      </c>
      <c r="E43" s="155" t="str">
        <f t="shared" si="35"/>
        <v/>
      </c>
      <c r="F43" s="155" t="str">
        <f t="shared" si="35"/>
        <v/>
      </c>
      <c r="G43" s="155" t="str">
        <f t="shared" si="35"/>
        <v/>
      </c>
      <c r="H43" s="155" t="str">
        <f t="shared" si="35"/>
        <v/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0.1038220193953223</v>
      </c>
      <c r="D44" s="155">
        <f t="shared" si="36"/>
        <v>0.21387088628903292</v>
      </c>
      <c r="E44" s="155" t="str">
        <f t="shared" si="36"/>
        <v/>
      </c>
      <c r="F44" s="155" t="str">
        <f t="shared" si="36"/>
        <v/>
      </c>
      <c r="G44" s="155" t="str">
        <f t="shared" si="36"/>
        <v/>
      </c>
      <c r="H44" s="155" t="str">
        <f t="shared" si="36"/>
        <v/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1.0724472333143184E-2</v>
      </c>
      <c r="D45" s="155">
        <f t="shared" si="37"/>
        <v>8.0801279353589772E-3</v>
      </c>
      <c r="E45" s="155" t="str">
        <f t="shared" si="37"/>
        <v/>
      </c>
      <c r="F45" s="155" t="str">
        <f t="shared" si="37"/>
        <v/>
      </c>
      <c r="G45" s="155" t="str">
        <f t="shared" si="37"/>
        <v/>
      </c>
      <c r="H45" s="155" t="str">
        <f t="shared" si="37"/>
        <v/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3.2820226152532532E-3</v>
      </c>
      <c r="E46" s="155" t="str">
        <f t="shared" si="38"/>
        <v/>
      </c>
      <c r="F46" s="155" t="str">
        <f t="shared" si="38"/>
        <v/>
      </c>
      <c r="G46" s="155" t="str">
        <f t="shared" si="38"/>
        <v/>
      </c>
      <c r="H46" s="155" t="str">
        <f t="shared" si="38"/>
        <v/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249</v>
      </c>
      <c r="C47" s="155">
        <f>IF(C6="","",ABS(MAX(C21,0)-MAX(C19,0))/C6)</f>
        <v>1.038220193953223E-2</v>
      </c>
      <c r="D47" s="155">
        <f t="shared" ref="D47:M47" si="39">IF(D6="","",ABS(MAX(D21,0)-MAX(D19,0))/D6)</f>
        <v>7.5751199393990403E-3</v>
      </c>
      <c r="E47" s="155" t="str">
        <f t="shared" si="39"/>
        <v/>
      </c>
      <c r="F47" s="155" t="str">
        <f t="shared" si="39"/>
        <v/>
      </c>
      <c r="G47" s="155" t="str">
        <f t="shared" si="39"/>
        <v/>
      </c>
      <c r="H47" s="155" t="str">
        <f t="shared" si="39"/>
        <v/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0.1416999429549344</v>
      </c>
      <c r="D48" s="155">
        <f t="shared" si="40"/>
        <v>0.13332264029190943</v>
      </c>
      <c r="E48" s="155" t="str">
        <f t="shared" si="40"/>
        <v/>
      </c>
      <c r="F48" s="155" t="str">
        <f t="shared" si="40"/>
        <v/>
      </c>
      <c r="G48" s="155" t="str">
        <f t="shared" si="40"/>
        <v/>
      </c>
      <c r="H48" s="155" t="str">
        <f t="shared" si="40"/>
        <v/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150</v>
      </c>
      <c r="C50" s="158">
        <f t="shared" ref="C50:M50" si="41">IF(C29="","",C29/C6)</f>
        <v>0.93462635482030809</v>
      </c>
      <c r="D50" s="158">
        <f t="shared" si="41"/>
        <v>0.61030216311758267</v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151</v>
      </c>
      <c r="C51" s="155">
        <f t="shared" ref="C51:M51" si="42">IF(C30="","",C30/C6)</f>
        <v>0.73029092983456934</v>
      </c>
      <c r="D51" s="155">
        <f t="shared" si="42"/>
        <v>1.3794293409645653</v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7.7784678170607288E-2</v>
      </c>
      <c r="D53" s="158">
        <f t="shared" ref="D53:M53" si="43">IF(D36="","",(D27-D36)/D27)</f>
        <v>9.0171250069727232E-2</v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1.4325259515570934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7.5684380032206122E-2</v>
      </c>
      <c r="D55" s="155">
        <f t="shared" si="45"/>
        <v>6.0605819969268282E-2</v>
      </c>
      <c r="E55" s="155" t="str">
        <f t="shared" si="45"/>
        <v/>
      </c>
      <c r="F55" s="155" t="str">
        <f t="shared" si="45"/>
        <v/>
      </c>
      <c r="G55" s="155" t="str">
        <f t="shared" si="45"/>
        <v/>
      </c>
      <c r="H55" s="155" t="str">
        <f t="shared" si="45"/>
        <v/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9.0093374264517774</v>
      </c>
      <c r="D56" s="160">
        <f t="shared" si="46"/>
        <v>6.2044578976334614</v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6" zoomScaleNormal="100" workbookViewId="0">
      <selection activeCell="E85" sqref="E8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45574</v>
      </c>
      <c r="D11" s="204">
        <f>Inputs!D40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139</v>
      </c>
      <c r="C12" s="40">
        <f>Inputs!C41</f>
        <v>843</v>
      </c>
      <c r="D12" s="204">
        <f>Inputs!D41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Inputs!C67</f>
        <v>20</v>
      </c>
      <c r="J12" s="87"/>
      <c r="K12" s="24"/>
    </row>
    <row r="13" spans="1:11" ht="13.9" x14ac:dyDescent="0.4">
      <c r="B13" s="3" t="s">
        <v>117</v>
      </c>
      <c r="C13" s="40">
        <f>Inputs!C42</f>
        <v>8192</v>
      </c>
      <c r="D13" s="204">
        <f>Inputs!D42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13</v>
      </c>
      <c r="D14" s="204">
        <f>Inputs!D43</f>
        <v>0.6</v>
      </c>
      <c r="E14" s="88">
        <f t="shared" si="0"/>
        <v>7.8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6</v>
      </c>
      <c r="D15" s="204">
        <f>Inputs!D44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6401</v>
      </c>
      <c r="D18" s="204">
        <f>Inputs!D47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Y</v>
      </c>
      <c r="G19" s="30">
        <f>IF(F19="Y",0,1)</f>
        <v>0</v>
      </c>
    </row>
    <row r="20" spans="2:10" ht="13.9" x14ac:dyDescent="0.4">
      <c r="B20" s="3" t="s">
        <v>120</v>
      </c>
      <c r="C20" s="40">
        <f>Inputs!C49</f>
        <v>9403</v>
      </c>
      <c r="D20" s="204">
        <f>Inputs!D49</f>
        <v>0.6</v>
      </c>
      <c r="E20" s="88">
        <f t="shared" si="0"/>
        <v>5641.8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3</v>
      </c>
      <c r="D21" s="204">
        <f>Inputs!D50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12">
        <f>Inputs!C70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832</v>
      </c>
      <c r="J30" s="87"/>
    </row>
    <row r="31" spans="2:10" ht="15" customHeight="1" x14ac:dyDescent="0.4">
      <c r="B31" s="3" t="s">
        <v>63</v>
      </c>
      <c r="C31" s="40">
        <f>Inputs!C53</f>
        <v>1241</v>
      </c>
      <c r="D31" s="204">
        <f>Inputs!D53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Inputs!C72</f>
        <v>15</v>
      </c>
      <c r="J31" s="87"/>
    </row>
    <row r="32" spans="2:10" ht="15" customHeight="1" x14ac:dyDescent="0.4">
      <c r="B32" s="3" t="s">
        <v>65</v>
      </c>
      <c r="C32" s="40">
        <f>Inputs!C54</f>
        <v>69365</v>
      </c>
      <c r="D32" s="204">
        <f>Inputs!D54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3.9" x14ac:dyDescent="0.4">
      <c r="B34" s="3" t="s">
        <v>68</v>
      </c>
      <c r="C34" s="40">
        <f>Inputs!C56</f>
        <v>13047</v>
      </c>
      <c r="D34" s="204">
        <f>Inputs!D56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Inputs!C57</f>
        <v>23342</v>
      </c>
      <c r="D35" s="204">
        <f>Inputs!D57</f>
        <v>0.1</v>
      </c>
      <c r="E35" s="88">
        <f t="shared" si="1"/>
        <v>2334.2000000000003</v>
      </c>
      <c r="F35" s="134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1641</v>
      </c>
      <c r="D36" s="204">
        <f>Inputs!D58</f>
        <v>0.2</v>
      </c>
      <c r="E36" s="88">
        <f t="shared" si="1"/>
        <v>328.20000000000005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Inputs!C60</f>
        <v>1263</v>
      </c>
      <c r="D38" s="204">
        <f>Inputs!D60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10</v>
      </c>
      <c r="D41" s="204">
        <f>Inputs!D63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13">
        <f>Inputs!C75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9">
        <f>I15+I34</f>
        <v>867</v>
      </c>
      <c r="E56" s="257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143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145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155</v>
      </c>
      <c r="C64" s="214"/>
      <c r="D64" s="214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146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144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156</v>
      </c>
      <c r="C69" s="214"/>
      <c r="D69" s="214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147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130</v>
      </c>
      <c r="C72" s="262">
        <f>Data!C5</f>
        <v>45473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4">
      <c r="B74" s="3" t="s">
        <v>129</v>
      </c>
      <c r="C74" s="77">
        <f>Data!C6</f>
        <v>8765</v>
      </c>
      <c r="D74" s="215"/>
      <c r="E74" s="202">
        <f>C74</f>
        <v>8765</v>
      </c>
      <c r="F74" s="215"/>
      <c r="H74" s="202">
        <f>C74*1.2</f>
        <v>10518</v>
      </c>
      <c r="I74" s="215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1">
        <f>C75/$C$74</f>
        <v>0.60969766115231028</v>
      </c>
      <c r="E75" s="202">
        <f>E74*D75</f>
        <v>5344</v>
      </c>
      <c r="F75" s="162">
        <f>E75/E74</f>
        <v>0.60969766115231028</v>
      </c>
      <c r="H75" s="202">
        <f>H74*D75</f>
        <v>6412.7999999999993</v>
      </c>
      <c r="I75" s="162">
        <f>H75/$H$74</f>
        <v>0.60969766115231028</v>
      </c>
      <c r="K75" s="24"/>
    </row>
    <row r="76" spans="1:11" ht="15" customHeight="1" x14ac:dyDescent="0.4">
      <c r="B76" s="35" t="s">
        <v>96</v>
      </c>
      <c r="C76" s="163">
        <f>C74-C75</f>
        <v>3421</v>
      </c>
      <c r="D76" s="216"/>
      <c r="E76" s="164">
        <f>E74-E75</f>
        <v>3421</v>
      </c>
      <c r="F76" s="216"/>
      <c r="H76" s="164">
        <f>H74-H75</f>
        <v>4105.2000000000007</v>
      </c>
      <c r="I76" s="216"/>
      <c r="K76" s="24"/>
    </row>
    <row r="77" spans="1:11" ht="15" customHeight="1" x14ac:dyDescent="0.4">
      <c r="B77" s="104" t="s">
        <v>261</v>
      </c>
      <c r="C77" s="77">
        <f>Data!C10+MAX(Data!C11,0)</f>
        <v>1084</v>
      </c>
      <c r="D77" s="161">
        <f>C77/$C$74</f>
        <v>0.12367370222475756</v>
      </c>
      <c r="E77" s="202">
        <f>E74*I77</f>
        <v>1084</v>
      </c>
      <c r="F77" s="162">
        <f>E77/E74</f>
        <v>0.12367370222475756</v>
      </c>
      <c r="H77" s="202">
        <f>H74*D77</f>
        <v>1300.8</v>
      </c>
      <c r="I77" s="162">
        <f>H77/$H$74</f>
        <v>0.12367370222475756</v>
      </c>
      <c r="K77" s="24"/>
    </row>
    <row r="78" spans="1:11" ht="15" customHeight="1" x14ac:dyDescent="0.4">
      <c r="B78" s="35" t="s">
        <v>245</v>
      </c>
      <c r="C78" s="163">
        <f>C76-C77</f>
        <v>2337</v>
      </c>
      <c r="D78" s="216"/>
      <c r="E78" s="164">
        <f>E76-E77</f>
        <v>2337</v>
      </c>
      <c r="F78" s="216"/>
      <c r="H78" s="164">
        <f>H76-H77</f>
        <v>2804.4000000000005</v>
      </c>
      <c r="I78" s="216"/>
      <c r="K78" s="24"/>
    </row>
    <row r="79" spans="1:11" ht="15" customHeight="1" x14ac:dyDescent="0.4">
      <c r="B79" s="104" t="s">
        <v>124</v>
      </c>
      <c r="C79" s="77">
        <f>MAX(Data!C17,0)</f>
        <v>94</v>
      </c>
      <c r="D79" s="161">
        <f>C79/$C$74</f>
        <v>1.0724472333143184E-2</v>
      </c>
      <c r="E79" s="183">
        <f>E74*F79</f>
        <v>94</v>
      </c>
      <c r="F79" s="162">
        <f t="shared" ref="F79:F84" si="3">I79</f>
        <v>1.0724472333143184E-2</v>
      </c>
      <c r="H79" s="202">
        <f>H74*D79</f>
        <v>112.80000000000001</v>
      </c>
      <c r="I79" s="162">
        <f>H79/$H$74</f>
        <v>1.0724472333143184E-2</v>
      </c>
      <c r="K79" s="24"/>
    </row>
    <row r="80" spans="1:11" ht="15" customHeight="1" x14ac:dyDescent="0.4">
      <c r="B80" s="28" t="s">
        <v>260</v>
      </c>
      <c r="C80" s="77">
        <f>ABS(MAX(Data!C21,0)-MAX(Data!C19,0))</f>
        <v>91</v>
      </c>
      <c r="D80" s="161">
        <f>C80/$C$74</f>
        <v>1.038220193953223E-2</v>
      </c>
      <c r="E80" s="202">
        <f>E74*I80</f>
        <v>190.20050000000001</v>
      </c>
      <c r="F80" s="162">
        <f>E80/E74</f>
        <v>2.1700000000000001E-2</v>
      </c>
      <c r="H80" s="202">
        <f>H74*2.17%</f>
        <v>228.2406</v>
      </c>
      <c r="I80" s="162">
        <f>H80/$H$74</f>
        <v>2.1700000000000001E-2</v>
      </c>
      <c r="K80" s="24"/>
    </row>
    <row r="81" spans="1:11" ht="15" customHeight="1" x14ac:dyDescent="0.4">
      <c r="B81" s="28" t="s">
        <v>110</v>
      </c>
      <c r="C81" s="77">
        <f>MAX(Data!C16,0)</f>
        <v>910</v>
      </c>
      <c r="D81" s="161">
        <f>C81/$C$74</f>
        <v>0.1038220193953223</v>
      </c>
      <c r="E81" s="183">
        <f>E74*F81</f>
        <v>175.3</v>
      </c>
      <c r="F81" s="162">
        <f t="shared" si="3"/>
        <v>0.02</v>
      </c>
      <c r="H81" s="202">
        <f>H74*2%</f>
        <v>210.36</v>
      </c>
      <c r="I81" s="162">
        <f>H81/$H$74</f>
        <v>0.02</v>
      </c>
      <c r="K81" s="184" t="s">
        <v>134</v>
      </c>
    </row>
    <row r="82" spans="1:11" ht="15" customHeight="1" x14ac:dyDescent="0.4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45">
      <c r="B83" s="105" t="s">
        <v>128</v>
      </c>
      <c r="C83" s="165">
        <f>C78-C79-C80-C81-C82</f>
        <v>1242</v>
      </c>
      <c r="D83" s="166">
        <f>C83/$C$74</f>
        <v>0.1416999429549344</v>
      </c>
      <c r="E83" s="167">
        <f>E78-E79-E80-E81-E82</f>
        <v>1877.4995000000001</v>
      </c>
      <c r="F83" s="166">
        <f>E83/E74</f>
        <v>0.21420416428978895</v>
      </c>
      <c r="H83" s="167">
        <f>H78-H79-H80-H81-H82</f>
        <v>2252.9994000000002</v>
      </c>
      <c r="I83" s="166">
        <f>H83/$H$74</f>
        <v>0.21420416428978895</v>
      </c>
      <c r="K83" s="24"/>
    </row>
    <row r="84" spans="1:11" ht="15" customHeight="1" thickTop="1" x14ac:dyDescent="0.4">
      <c r="B84" s="28" t="s">
        <v>97</v>
      </c>
      <c r="C84" s="217"/>
      <c r="D84" s="161">
        <f>I84</f>
        <v>0.20500000000000002</v>
      </c>
      <c r="E84" s="218"/>
      <c r="F84" s="182">
        <f t="shared" si="3"/>
        <v>0.20500000000000002</v>
      </c>
      <c r="H84" s="218"/>
      <c r="I84" s="208">
        <f>Inputs!C16</f>
        <v>0.20500000000000002</v>
      </c>
      <c r="K84" s="24"/>
    </row>
    <row r="85" spans="1:11" ht="15" customHeight="1" x14ac:dyDescent="0.4">
      <c r="B85" s="86" t="s">
        <v>169</v>
      </c>
      <c r="C85" s="163">
        <f>C83*(1-I84)</f>
        <v>987.38999999999987</v>
      </c>
      <c r="D85" s="168">
        <f>C85/$C$74</f>
        <v>0.11265145464917284</v>
      </c>
      <c r="E85" s="169">
        <f>E83*(1-F84)</f>
        <v>1492.6121025</v>
      </c>
      <c r="F85" s="168">
        <f>E85/E74</f>
        <v>0.17029231061038219</v>
      </c>
      <c r="H85" s="169">
        <f>H83*(1-I84)</f>
        <v>1791.1345229999999</v>
      </c>
      <c r="I85" s="168">
        <f>H85/$H$74</f>
        <v>0.17029231061038219</v>
      </c>
      <c r="K85" s="24"/>
    </row>
    <row r="86" spans="1:11" ht="15" customHeight="1" x14ac:dyDescent="0.4">
      <c r="B86" s="87" t="s">
        <v>165</v>
      </c>
      <c r="C86" s="170">
        <f>C85*Data!C4/Common_Shares</f>
        <v>0.12082776640540205</v>
      </c>
      <c r="D86" s="215"/>
      <c r="E86" s="171">
        <f>E85*Data!C4/Common_Shares</f>
        <v>0.18265223108877551</v>
      </c>
      <c r="F86" s="215"/>
      <c r="H86" s="171">
        <f>H85*Data!C4/Common_Shares</f>
        <v>0.2191826773065306</v>
      </c>
      <c r="I86" s="215"/>
      <c r="K86" s="24"/>
    </row>
    <row r="87" spans="1:11" ht="15" customHeight="1" x14ac:dyDescent="0.4">
      <c r="B87" s="87" t="s">
        <v>216</v>
      </c>
      <c r="C87" s="162">
        <f>C86*Exchange_Rate/Dashboard!G3</f>
        <v>1.5392072340548337E-2</v>
      </c>
      <c r="D87" s="215"/>
      <c r="E87" s="233">
        <f>E86*Exchange_Rate/Dashboard!G3</f>
        <v>2.326780042137145E-2</v>
      </c>
      <c r="F87" s="215"/>
      <c r="H87" s="233">
        <f>H86*Exchange_Rate/Dashboard!G3</f>
        <v>2.7921360505645736E-2</v>
      </c>
      <c r="I87" s="215"/>
      <c r="K87" s="24"/>
    </row>
    <row r="88" spans="1:11" ht="15" customHeight="1" x14ac:dyDescent="0.4">
      <c r="B88" s="86" t="s">
        <v>215</v>
      </c>
      <c r="C88" s="172">
        <f>Inputs!F5</f>
        <v>0.57999999999999996</v>
      </c>
      <c r="D88" s="168">
        <f>C88/C86</f>
        <v>4.8002211516016979</v>
      </c>
      <c r="E88" s="201">
        <f>H88</f>
        <v>0.57999999999999996</v>
      </c>
      <c r="F88" s="168">
        <f>E88/E86</f>
        <v>3.1754334263680537</v>
      </c>
      <c r="H88" s="173">
        <f>Inputs!F6</f>
        <v>0.57999999999999996</v>
      </c>
      <c r="I88" s="168">
        <f>H88/H86</f>
        <v>2.6461945219733782</v>
      </c>
      <c r="K88" s="24"/>
    </row>
    <row r="89" spans="1:11" ht="15" customHeight="1" x14ac:dyDescent="0.4">
      <c r="B89" s="87" t="s">
        <v>231</v>
      </c>
      <c r="C89" s="162">
        <f>C88*Exchange_Rate/Dashboard!G3</f>
        <v>7.3885351216083583E-2</v>
      </c>
      <c r="D89" s="215"/>
      <c r="E89" s="162">
        <f>E88*Exchange_Rate/Dashboard!G3</f>
        <v>7.3885351216083583E-2</v>
      </c>
      <c r="F89" s="215"/>
      <c r="H89" s="162">
        <f>H88*Exchange_Rate/Dashboard!G3</f>
        <v>7.3885351216083583E-2</v>
      </c>
      <c r="I89" s="215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159</v>
      </c>
      <c r="C91" s="21"/>
      <c r="K91" s="50" t="s">
        <v>136</v>
      </c>
    </row>
    <row r="92" spans="1:11" ht="15" customHeight="1" x14ac:dyDescent="0.4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4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3.1047568007128974</v>
      </c>
      <c r="H93" s="87" t="s">
        <v>217</v>
      </c>
      <c r="I93" s="145">
        <f>FV(H87,D93,0,-(H86/C93))</f>
        <v>3.8112000593821436</v>
      </c>
      <c r="K93" s="24"/>
    </row>
    <row r="94" spans="1:11" ht="15" customHeight="1" x14ac:dyDescent="0.4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12.550864740010557</v>
      </c>
      <c r="H94" s="87" t="s">
        <v>218</v>
      </c>
      <c r="I94" s="145">
        <f>FV(H89,D93,0,-(H88/C93))</f>
        <v>12.550864740010557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4">
      <c r="B97" s="1" t="s">
        <v>133</v>
      </c>
      <c r="C97" s="91">
        <f>H97*Common_Shares/Data!C4</f>
        <v>22625.474726883425</v>
      </c>
      <c r="D97" s="219"/>
      <c r="E97" s="123">
        <f>PV(C93,D93,0,-F93)*Exchange_Rate</f>
        <v>2.2554934154858097</v>
      </c>
      <c r="F97" s="219"/>
      <c r="H97" s="123">
        <f>PV(C93,D93,0,-I93)*Exchange_Rate</f>
        <v>2.7686988678345932</v>
      </c>
      <c r="I97" s="221"/>
      <c r="K97" s="24"/>
    </row>
    <row r="98" spans="2:11" ht="15" customHeight="1" x14ac:dyDescent="0.4">
      <c r="B98" s="28" t="s">
        <v>148</v>
      </c>
      <c r="C98" s="91">
        <f>E53*Exchange_Rate</f>
        <v>526</v>
      </c>
      <c r="D98" s="219"/>
      <c r="E98" s="219"/>
      <c r="F98" s="219"/>
      <c r="H98" s="123">
        <f>C98*Data!$C$4/Common_Shares</f>
        <v>6.4367073931517929E-2</v>
      </c>
      <c r="I98" s="221"/>
      <c r="K98" s="24"/>
    </row>
    <row r="99" spans="2:11" ht="15" customHeight="1" thickBot="1" x14ac:dyDescent="0.45">
      <c r="B99" s="105" t="s">
        <v>149</v>
      </c>
      <c r="C99" s="108">
        <f>(E65-IF(E70&lt;0,MIN(E65,ABS(E70)),0))*Exchange_Rate</f>
        <v>78249.899999999994</v>
      </c>
      <c r="D99" s="220"/>
      <c r="E99" s="147">
        <f>IF(H99&gt;0,H99*0.85,H99*1.15)</f>
        <v>8.1391816229444913</v>
      </c>
      <c r="F99" s="220"/>
      <c r="H99" s="147">
        <f>C99*Data!$C$4/Common_Shares</f>
        <v>9.5755077916994011</v>
      </c>
      <c r="I99" s="222"/>
      <c r="K99" s="24"/>
    </row>
    <row r="100" spans="2:11" ht="15" customHeight="1" thickTop="1" x14ac:dyDescent="0.4">
      <c r="B100" s="1" t="s">
        <v>115</v>
      </c>
      <c r="C100" s="91">
        <f>C97-C98+$C$99</f>
        <v>100349.37472688343</v>
      </c>
      <c r="D100" s="109">
        <f>F100*(1-C94)</f>
        <v>9.6093127087930359</v>
      </c>
      <c r="E100" s="109">
        <f>MAX(E97-H98+E99,0)</f>
        <v>10.330307964498783</v>
      </c>
      <c r="F100" s="109">
        <f>(E100+H100)/2</f>
        <v>11.30507377505063</v>
      </c>
      <c r="H100" s="109">
        <f>MAX(C100*Data!$C$4/Common_Shares,0)</f>
        <v>12.279839585602476</v>
      </c>
      <c r="I100" s="109">
        <f>F100*1.25</f>
        <v>14.131342218813288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4">
      <c r="B103" s="1" t="s">
        <v>166</v>
      </c>
      <c r="C103" s="91">
        <f>H103*Common_Shares/Data!C4</f>
        <v>74509.148969124741</v>
      </c>
      <c r="D103" s="109">
        <f>F103*(1-C94)</f>
        <v>7.7500865308547811</v>
      </c>
      <c r="E103" s="123">
        <f>PV(C93,D93,0,-F94)*Exchange_Rate</f>
        <v>9.1177488598291543</v>
      </c>
      <c r="F103" s="109">
        <f>(E103+H103)/2</f>
        <v>9.1177488598291543</v>
      </c>
      <c r="H103" s="123">
        <f>PV(C93,D93,0,-I94)*Exchange_Rate</f>
        <v>9.1177488598291543</v>
      </c>
      <c r="I103" s="109">
        <f>F103*1.25</f>
        <v>11.397186074786443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4">
      <c r="B106" s="1" t="s">
        <v>206</v>
      </c>
      <c r="C106" s="91">
        <f>E106*Common_Shares/Data!C4</f>
        <v>79463.592678456669</v>
      </c>
      <c r="D106" s="109">
        <f>(D100+D103)/2</f>
        <v>8.6796996198239089</v>
      </c>
      <c r="E106" s="123">
        <f>(E100+E103)/2</f>
        <v>9.7240284121639675</v>
      </c>
      <c r="F106" s="109">
        <f>(F100+F103)/2</f>
        <v>10.211411317439893</v>
      </c>
      <c r="H106" s="123">
        <f>(H100+H103)/2</f>
        <v>10.698794222715815</v>
      </c>
      <c r="I106" s="123">
        <f>(I100+I103)/2</f>
        <v>12.764264146799865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2024-11-22T02:08:26Z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