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06B2808-04F6-43E0-92BF-8EDA91B32CAF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105" i="3" l="1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<sst xmlns="http://schemas.openxmlformats.org/spreadsheetml/2006/main" count="348" uniqueCount="249">
  <si>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</si>
  <si>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</si>
  <si>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</si>
  <si>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</si>
  <si>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</si>
  <si>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</si>
  <si>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</si>
  <si>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</si>
  <si>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</si>
  <si>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</si>
  <si>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</si>
  <si>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</si>
  <si>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</si>
  <si>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</si>
  <si>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</si>
  <si>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</si>
  <si>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</si>
  <si>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</si>
  <si>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</si>
  <si>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</si>
  <si>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</si>
  <si>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</si>
  <si>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</si>
  <si>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</si>
  <si>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</si>
  <si>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</si>
  <si>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</si>
  <si>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</si>
  <si>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</si>
  <si>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</si>
  <si>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</si>
  <si>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</si>
  <si>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</si>
  <si>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</si>
  <si>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</si>
  <si>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</si>
  <si>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</si>
  <si>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</si>
  <si>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</si>
  <si>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</si>
  <si>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</si>
  <si>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</si>
  <si>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</si>
  <si>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</si>
  <si>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</si>
  <si>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</si>
  <si>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</si>
  <si>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</si>
  <si>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</si>
  <si>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</si>
  <si>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</si>
  <si>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</si>
  <si>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</si>
  <si>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</si>
  <si>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</si>
  <si>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</si>
  <si>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</si>
  <si>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</si>
  <si>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</si>
  <si>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</si>
  <si>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</si>
  <si>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</si>
  <si>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</si>
  <si>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</si>
  <si>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</si>
  <si>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</si>
  <si>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</si>
  <si>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</si>
  <si>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</si>
  <si>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</si>
  <si>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</si>
  <si>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</si>
  <si>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</si>
  <si>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</si>
  <si>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</si>
  <si>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</si>
  <si>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</si>
  <si>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</si>
  <si>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</si>
  <si>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</si>
  <si>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</si>
  <si>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</si>
  <si>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</si>
  <si>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</si>
  <si>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</si>
  <si>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</si>
  <si>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</si>
  <si>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</si>
  <si>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</si>
  <si>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</si>
  <si>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</si>
  <si>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</si>
  <si>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</si>
  <si>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</si>
  <si>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</si>
  <si>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</si>
  <si>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</si>
  <si>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</si>
  <si>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</si>
  <si>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</si>
  <si>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</si>
  <si>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</si>
  <si>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</si>
  <si>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</si>
  <si>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</si>
  <si>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</si>
  <si>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</si>
  <si>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</si>
  <si>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</si>
  <si>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</si>
  <si>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</si>
  <si>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</si>
  <si>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</si>
  <si>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</si>
  <si>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</si>
  <si>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</si>
  <si>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</si>
  <si>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</si>
  <si>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</si>
  <si>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</si>
  <si>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</si>
  <si>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</si>
  <si>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</si>
  <si>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</si>
  <si>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</si>
  <si>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</si>
  <si>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</si>
  <si>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</si>
  <si>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</si>
  <si>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</si>
  <si>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</si>
  <si>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</si>
  <si>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</si>
  <si>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</si>
  <si>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</si>
  <si>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</si>
  <si>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</si>
  <si>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</si>
  <si>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</si>
  <si>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</si>
  <si>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</si>
  <si>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</si>
  <si>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</si>
  <si>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</si>
  <si>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</si>
  <si>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</si>
  <si>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</si>
  <si>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</si>
  <si>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</si>
  <si>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</si>
  <si>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</si>
  <si>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</si>
  <si>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</si>
  <si>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</si>
  <si>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</si>
  <si>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</si>
  <si>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</si>
  <si>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</si>
  <si>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</si>
  <si>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</si>
  <si>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</si>
  <si>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</si>
  <si>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</si>
  <si>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</si>
  <si>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</si>
  <si>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</si>
  <si>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</si>
  <si>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</si>
  <si>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</si>
  <si>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</si>
  <si>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</si>
  <si>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</si>
  <si>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</si>
  <si>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</si>
  <si>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</si>
  <si>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</si>
  <si>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</si>
  <si>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</si>
  <si>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</si>
  <si>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</si>
  <si>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</si>
  <si>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</si>
  <si>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</si>
  <si>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</si>
  <si>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</si>
  <si>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</si>
  <si>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</si>
  <si>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</si>
  <si>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</si>
  <si>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</si>
  <si>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</si>
  <si>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</si>
  <si>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</si>
  <si>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</si>
  <si>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</si>
  <si>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</si>
  <si>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</si>
  <si>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</si>
  <si>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</si>
  <si>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</si>
  <si>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</si>
  <si>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</si>
  <si>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</si>
  <si>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</si>
  <si>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</si>
  <si>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</si>
  <si>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</si>
  <si>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</si>
  <si>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</si>
  <si>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</si>
  <si>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</si>
  <si>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</si>
  <si>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</si>
  <si>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</si>
  <si>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</si>
  <si>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</si>
  <si>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</si>
  <si>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</si>
  <si>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</si>
  <si>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</si>
  <si>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</si>
  <si>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</si>
  <si>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</si>
  <si>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</si>
  <si>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</si>
  <si>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</si>
  <si>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</si>
  <si>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</si>
  <si>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</si>
  <si>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</si>
  <si>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</si>
  <si>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</si>
  <si>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</si>
  <si>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</si>
  <si>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</si>
  <si>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</si>
  <si>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</si>
  <si>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</si>
  <si>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</si>
  <si>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</si>
  <si>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</si>
  <si>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</si>
  <si>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</si>
  <si>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</si>
  <si>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</si>
  <si>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</si>
  <si>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中國民航信息網絡</t>
    <phoneticPr fontId="20" type="noConversion"/>
  </si>
  <si>
    <t>0696.HK</t>
    <phoneticPr fontId="20" type="noConversion"/>
  </si>
  <si>
    <t>C0009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</si>
</sst>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5" sqref="C1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0696.HK</v>
      </c>
      <c r="D3" s="247"/>
      <c r="E3" s="87"/>
      <c r="F3" s="3" t="s">
        <v>1</v>
      </c>
      <c r="G3" s="133">
        <v>10.319999694824219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中國民航信息網絡</v>
      </c>
      <c r="D4" s="249"/>
      <c r="E4" s="87"/>
      <c r="F4" s="3" t="s">
        <v>3</v>
      </c>
      <c r="G4" s="252">
        <f>Inputs!C10</f>
        <v>2926209589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30198.482065471704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C0009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0.48660635459513968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0.17055682117844595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2.1757339633768379E-3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0.12357639997060962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3.9144486144819593E-2</v>
      </c>
    </row>
    <row r="25" spans="1:8" ht="15.75" customHeight="1" x14ac:dyDescent="0.4">
      <c r="B25" s="138" t="s">
        <v>208</v>
      </c>
      <c r="C25" s="177">
        <f>Fin_Analysis!I82</f>
        <v>7.0052944996285213E-3</v>
      </c>
      <c r="F25" s="141" t="s">
        <v>188</v>
      </c>
      <c r="G25" s="177">
        <f>Fin_Analysis!I88</f>
        <v>0.4254866918205345</v>
      </c>
    </row>
    <row r="26" spans="1:8" ht="15.75" customHeight="1" x14ac:dyDescent="0.4">
      <c r="B26" s="139" t="s">
        <v>187</v>
      </c>
      <c r="C26" s="177">
        <f>Fin_Analysis!I83</f>
        <v>0.21007939579279941</v>
      </c>
      <c r="F26" s="142" t="s">
        <v>210</v>
      </c>
      <c r="G26" s="184">
        <f>Fin_Analysis!H88*Exchange_Rate/G3</f>
        <v>1.6655457912774035E-2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1.2890909103769452</v>
      </c>
      <c r="D29" s="130">
        <f>IF(Fin_Analysis!C108="Profit",Fin_Analysis!I100,IF(Fin_Analysis!C108="Dividend",Fin_Analysis!I103,Fin_Analysis!I106))</f>
        <v>2.2893322914192189</v>
      </c>
      <c r="E29" s="87"/>
      <c r="F29" s="132">
        <f>IF(Fin_Analysis!C108="Profit",Fin_Analysis!F100,IF(Fin_Analysis!C108="Dividend",Fin_Analysis!F103,Fin_Analysis!F106))</f>
        <v>1.8314658331353753</v>
      </c>
      <c r="G29" s="243">
        <f>IF(Fin_Analysis!C108="Profit",Fin_Analysis!H100,IF(Fin_Analysis!C108="Dividend",Fin_Analysis!H103,Fin_Analysis!H106))</f>
        <v>1.8314658331353753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4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247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246</v>
      </c>
      <c r="E5" s="231">
        <f>C18</f>
        <v>45291</v>
      </c>
      <c r="F5" s="232">
        <v>0.16</v>
      </c>
    </row>
    <row r="6" spans="1:6" ht="13.9" x14ac:dyDescent="0.4">
      <c r="B6" s="142" t="s">
        <v>175</v>
      </c>
      <c r="C6" s="196">
        <v>45603</v>
      </c>
      <c r="E6" s="233" t="s">
        <v>224</v>
      </c>
      <c r="F6" s="232">
        <f>F5</f>
        <v>0.16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71</v>
      </c>
    </row>
    <row r="9" spans="1:6" ht="13.9" x14ac:dyDescent="0.4">
      <c r="B9" s="141" t="s">
        <v>236</v>
      </c>
      <c r="C9" s="199" t="s">
        <v>248</v>
      </c>
    </row>
    <row r="10" spans="1:6" ht="13.9" x14ac:dyDescent="0.4">
      <c r="B10" s="141" t="s">
        <v>237</v>
      </c>
      <c r="C10" s="200">
        <v>2926209589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6983846860.7700005</v>
      </c>
      <c r="D19" s="152">
        <v>5210105771.0900002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3398384261.9699998</v>
      </c>
      <c r="D20" s="153">
        <v>3162230075.25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1191142720.1700001</v>
      </c>
      <c r="D21" s="153">
        <v>1028568099.8399999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863038653</v>
      </c>
      <c r="D23" s="153">
        <v>701713632.36000001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15194992.810000001</v>
      </c>
      <c r="D26" s="153">
        <v>12415189.01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48923904</v>
      </c>
      <c r="D27" s="153">
        <v>52800637.210000001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2313893013.8200006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6983846860.7700005</v>
      </c>
      <c r="D6" s="209">
        <f>IF(Inputs!D19="","",Inputs!D19)</f>
        <v>5210105771.0900002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3398384261.9699998</v>
      </c>
      <c r="D8" s="208">
        <f>IF(Inputs!D20="","",Inputs!D20)</f>
        <v>3162230075.25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3585462598.8000007</v>
      </c>
      <c r="D9" s="154">
        <f t="shared" si="2"/>
        <v>2047875695.8400002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1191142720.1700001</v>
      </c>
      <c r="D10" s="208">
        <f>IF(Inputs!D21="","",Inputs!D21)</f>
        <v>1028568099.8399999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2394319878.6300006</v>
      </c>
      <c r="D13" s="154">
        <f t="shared" ref="D13:M13" si="4">IF(D6="","",(D9-D10+MAX(D12,0)))</f>
        <v>1019307596.0000002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863038653</v>
      </c>
      <c r="D14" s="208">
        <f>IF(Inputs!D23="","",Inputs!D23)</f>
        <v>701713632.36000001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15194992.810000001</v>
      </c>
      <c r="D17" s="208">
        <f>IF(Inputs!D26="","",Inputs!D26)</f>
        <v>12415189.01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48923904</v>
      </c>
      <c r="D18" s="208">
        <f>IF(Inputs!D27="","",Inputs!D27)</f>
        <v>52800637.210000001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2313893013.8200006</v>
      </c>
      <c r="D19" s="237">
        <f>IF(D6="","",D9-D10-MAX(D17,0)-MAX(D18,0)/(1-Fin_Analysis!$I$84))</f>
        <v>936491557.3766669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1.4708103298888877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1450854360.8200006</v>
      </c>
      <c r="D21" s="77">
        <f>IF(D6="","",D13-MAX(D14,0)-MAX(D15,0)-MAX(D16,0)-MAX(D17,0)-MAX(D18,0)/(1-Fin_Analysis!$I$84))</f>
        <v>234777925.01666689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5.1796881487772088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0.15580822321969243</v>
      </c>
      <c r="D23" s="157">
        <f t="shared" si="7"/>
        <v>3.3796519974615018E-2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1088140770.6150005</v>
      </c>
      <c r="D24" s="77">
        <f>IF(D6="","",D21*(1-Fin_Analysis!$I$84))</f>
        <v>176083443.76250017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5.1796881487772088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0.48660635459513968</v>
      </c>
      <c r="D42" s="161">
        <f t="shared" si="33"/>
        <v>0.60694162732677759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0.17055682117844595</v>
      </c>
      <c r="D43" s="157">
        <f t="shared" ref="D43:M43" si="34">IF(D6="","",(D10-MAX(D12,0))/D6)</f>
        <v>0.19741789227146811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0.12357639997060962</v>
      </c>
      <c r="D44" s="157">
        <f t="shared" ref="D44:M44" si="35">IF(D6="","",(MAX(D14,0)+MAX(D15,0))/D6)</f>
        <v>0.1346831836416241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2.1757339633768379E-3</v>
      </c>
      <c r="D46" s="157">
        <f t="shared" ref="D46:M46" si="37">IF(D6="","",MAX(D17,0)/D6)</f>
        <v>2.3829053680425824E-3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9.3403926661713623E-3</v>
      </c>
      <c r="D47" s="157">
        <f>IF(D6="","",MAX(D18,0)/(1-Fin_Analysis!$I$84)/D6)</f>
        <v>1.3512364759267613E-2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0.20774429762625657</v>
      </c>
      <c r="D48" s="157">
        <f t="shared" si="38"/>
        <v>4.5062026632820024E-2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1.0473134465000349E-2</v>
      </c>
      <c r="D55" s="157">
        <f t="shared" ref="D55:M55" si="43">IF(D21="","",IF(MAX(D17,0)&lt;=0,"-",D17/D21))</f>
        <v>5.2880563660823929E-2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0" zoomScaleNormal="100" workbookViewId="0">
      <selection activeCell="C105" sqref="C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6983846860.7700005</v>
      </c>
      <c r="D74" s="218"/>
      <c r="E74" s="205">
        <f>H74</f>
        <v>6983846860.7700005</v>
      </c>
      <c r="F74" s="218"/>
      <c r="H74" s="205">
        <f>C74</f>
        <v>6983846860.7700005</v>
      </c>
      <c r="I74" s="218"/>
      <c r="K74" s="24"/>
    </row>
    <row r="75" spans="1:11" ht="15" customHeight="1" x14ac:dyDescent="0.4">
      <c r="B75" s="105" t="s">
        <v>109</v>
      </c>
      <c r="C75" s="77">
        <f>Data!C8</f>
        <v>3398384261.9699998</v>
      </c>
      <c r="D75" s="164">
        <f>C75/$C$74</f>
        <v>0.48660635459513968</v>
      </c>
      <c r="E75" s="186">
        <f>E74*F75</f>
        <v>3398384261.9699998</v>
      </c>
      <c r="F75" s="165">
        <f>I75</f>
        <v>0.48660635459513968</v>
      </c>
      <c r="H75" s="205">
        <f>D75*H74</f>
        <v>3398384261.9699998</v>
      </c>
      <c r="I75" s="165">
        <f>H75/$H$74</f>
        <v>0.48660635459513968</v>
      </c>
      <c r="K75" s="24"/>
    </row>
    <row r="76" spans="1:11" ht="15" customHeight="1" x14ac:dyDescent="0.4">
      <c r="B76" s="35" t="s">
        <v>96</v>
      </c>
      <c r="C76" s="166">
        <f>C74-C75</f>
        <v>3585462598.8000007</v>
      </c>
      <c r="D76" s="219"/>
      <c r="E76" s="167">
        <f>E74-E75</f>
        <v>3585462598.8000007</v>
      </c>
      <c r="F76" s="219"/>
      <c r="H76" s="167">
        <f>H74-H75</f>
        <v>3585462598.8000007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1191142720.1700001</v>
      </c>
      <c r="D77" s="164">
        <f>C77/$C$74</f>
        <v>0.17055682117844595</v>
      </c>
      <c r="E77" s="186">
        <f>E74*F77</f>
        <v>1191142720.1700001</v>
      </c>
      <c r="F77" s="165">
        <f>I77</f>
        <v>0.17055682117844595</v>
      </c>
      <c r="H77" s="205">
        <f>D77*H74</f>
        <v>1191142720.1700001</v>
      </c>
      <c r="I77" s="165">
        <f>H77/$H$74</f>
        <v>0.17055682117844595</v>
      </c>
      <c r="K77" s="24"/>
    </row>
    <row r="78" spans="1:11" ht="15" customHeight="1" x14ac:dyDescent="0.4">
      <c r="B78" s="35" t="s">
        <v>97</v>
      </c>
      <c r="C78" s="166">
        <f>C76-C77</f>
        <v>2394319878.6300006</v>
      </c>
      <c r="D78" s="219"/>
      <c r="E78" s="167">
        <f>E76-E77</f>
        <v>2394319878.6300006</v>
      </c>
      <c r="F78" s="219"/>
      <c r="H78" s="167">
        <f>H76-H77</f>
        <v>2394319878.6300006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15194992.810000001</v>
      </c>
      <c r="D79" s="164">
        <f>C79/$C$74</f>
        <v>2.1757339633768379E-3</v>
      </c>
      <c r="E79" s="186">
        <f>E74*F79</f>
        <v>15194992.810000001</v>
      </c>
      <c r="F79" s="165">
        <f t="shared" ref="F79:F84" si="3">I79</f>
        <v>2.1757339633768379E-3</v>
      </c>
      <c r="H79" s="205">
        <f>C79</f>
        <v>15194992.810000001</v>
      </c>
      <c r="I79" s="165">
        <f>H79/$H$74</f>
        <v>2.1757339633768379E-3</v>
      </c>
      <c r="K79" s="24"/>
    </row>
    <row r="80" spans="1:11" ht="15" customHeight="1" x14ac:dyDescent="0.4">
      <c r="B80" s="28" t="s">
        <v>135</v>
      </c>
      <c r="C80" s="77">
        <f>MAX(Data!C14,0)+MAX(Data!C15,0)</f>
        <v>863038653</v>
      </c>
      <c r="D80" s="164">
        <f>C80/$C$74</f>
        <v>0.12357639997060962</v>
      </c>
      <c r="E80" s="186">
        <f>E74*F80</f>
        <v>863038653</v>
      </c>
      <c r="F80" s="165">
        <f t="shared" si="3"/>
        <v>0.12357639997060962</v>
      </c>
      <c r="H80" s="205">
        <f>H74*D80</f>
        <v>863038653</v>
      </c>
      <c r="I80" s="165">
        <f>H80/$H$74</f>
        <v>0.12357639997060962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48923904</v>
      </c>
      <c r="D82" s="164">
        <f>C82/$C$74</f>
        <v>7.0052944996285213E-3</v>
      </c>
      <c r="E82" s="186">
        <f>E74*F82</f>
        <v>48923904</v>
      </c>
      <c r="F82" s="165">
        <f t="shared" si="3"/>
        <v>7.0052944996285213E-3</v>
      </c>
      <c r="H82" s="205">
        <f>H74*D82</f>
        <v>48923904</v>
      </c>
      <c r="I82" s="165">
        <f>H82/$H$74</f>
        <v>7.0052944996285213E-3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1467162328.8200006</v>
      </c>
      <c r="D83" s="169">
        <f>C83/$C$74</f>
        <v>0.21007939579279941</v>
      </c>
      <c r="E83" s="170">
        <f>E78-E79-E80-E81-E82</f>
        <v>1467162328.8200006</v>
      </c>
      <c r="F83" s="169">
        <f>E83/E74</f>
        <v>0.21007939579279941</v>
      </c>
      <c r="H83" s="170">
        <f>H78-H79-H80-H81-H82</f>
        <v>1467162328.8200006</v>
      </c>
      <c r="I83" s="169">
        <f>H83/$H$74</f>
        <v>0.21007939579279941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1100371746.6150005</v>
      </c>
      <c r="D85" s="171">
        <f>C85/$C$74</f>
        <v>0.15755954684459955</v>
      </c>
      <c r="E85" s="172">
        <f>E83*(1-F84)</f>
        <v>1100371746.6150005</v>
      </c>
      <c r="F85" s="171">
        <f>E85/E74</f>
        <v>0.15755954684459955</v>
      </c>
      <c r="H85" s="172">
        <f>H83*(1-I84)</f>
        <v>1100371746.6150005</v>
      </c>
      <c r="I85" s="171">
        <f>H85/$H$74</f>
        <v>0.15755954684459955</v>
      </c>
      <c r="K85" s="24"/>
    </row>
    <row r="86" spans="1:11" ht="15" customHeight="1" x14ac:dyDescent="0.4">
      <c r="B86" s="87" t="s">
        <v>172</v>
      </c>
      <c r="C86" s="173">
        <f>C85*Data!C4/Common_Shares</f>
        <v>0.37603996335445011</v>
      </c>
      <c r="D86" s="218"/>
      <c r="E86" s="174">
        <f>E85*Data!C4/Common_Shares</f>
        <v>0.37603996335445011</v>
      </c>
      <c r="F86" s="218"/>
      <c r="H86" s="174">
        <f>H85*Data!C4/Common_Shares</f>
        <v>0.37603996335445011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3.9144486144819593E-2</v>
      </c>
      <c r="D87" s="218"/>
      <c r="E87" s="239">
        <f>E86*Exchange_Rate/Dashboard!G3</f>
        <v>3.9144486144819593E-2</v>
      </c>
      <c r="F87" s="218"/>
      <c r="H87" s="239">
        <f>H86*Exchange_Rate/Dashboard!G3</f>
        <v>3.9144486144819593E-2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0.16</v>
      </c>
      <c r="D88" s="171">
        <f>C88/C86</f>
        <v>0.4254866918205345</v>
      </c>
      <c r="E88" s="204">
        <f>H88</f>
        <v>0.16</v>
      </c>
      <c r="F88" s="171">
        <f>E88/E86</f>
        <v>0.4254866918205345</v>
      </c>
      <c r="H88" s="176">
        <f>Inputs!F6</f>
        <v>0.16</v>
      </c>
      <c r="I88" s="171">
        <f>H88/H86</f>
        <v>0.4254866918205345</v>
      </c>
      <c r="K88" s="24"/>
    </row>
    <row r="89" spans="1:11" ht="15" customHeight="1" x14ac:dyDescent="0.4">
      <c r="B89" s="87" t="s">
        <v>245</v>
      </c>
      <c r="C89" s="165">
        <f>C88*Exchange_Rate/Dashboard!G3</f>
        <v>1.6655457912774035E-2</v>
      </c>
      <c r="D89" s="218"/>
      <c r="E89" s="165">
        <f>E88*Exchange_Rate/Dashboard!G3</f>
        <v>1.6655457912774035E-2</v>
      </c>
      <c r="F89" s="218"/>
      <c r="H89" s="165">
        <f>H88*Exchange_Rate/Dashboard!G3</f>
        <v>1.6655457912774035E-2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6.3282145197939847</v>
      </c>
      <c r="H93" s="87" t="s">
        <v>228</v>
      </c>
      <c r="I93" s="146">
        <f>FV(H87,D93,0,-(H86/C93))</f>
        <v>6.3282145197939847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2.4135509363264172</v>
      </c>
      <c r="H94" s="87" t="s">
        <v>229</v>
      </c>
      <c r="I94" s="146">
        <f>FV(H89,D93,0,-(H88/C93))</f>
        <v>2.4135509363264172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14051703404.320017</v>
      </c>
      <c r="E97" s="124">
        <f>PV(C94,D93,0,-F93)*Exchange_Rate</f>
        <v>3.379934391937176</v>
      </c>
      <c r="F97" s="124">
        <f>PV(C93,D93,0,-F93)*Exchange_Rate</f>
        <v>4.802015363883088</v>
      </c>
      <c r="H97" s="124">
        <f>PV(C93,D93,0,-I93)*Exchange_Rate</f>
        <v>4.802015363883088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14051703404.320017</v>
      </c>
      <c r="E100" s="110">
        <f>MAX(E97-H98+F99,0)</f>
        <v>3.379934391937176</v>
      </c>
      <c r="F100" s="110">
        <f>MAX(F97-H98+F99,0)</f>
        <v>4.802015363883088</v>
      </c>
      <c r="H100" s="110">
        <f>MAX(C100*Data!$C$4/Common_Shares,0)</f>
        <v>4.802015363883088</v>
      </c>
      <c r="I100" s="110">
        <f>H100*1.25</f>
        <v>6.0025192048538596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5359252882.8466091</v>
      </c>
      <c r="E103" s="110">
        <f>PV(C94,D93,0,-F94)*Exchange_Rate</f>
        <v>1.2890909103769452</v>
      </c>
      <c r="F103" s="124">
        <f>PV(C93,D93,0,-F94)*Exchange_Rate</f>
        <v>1.8314658331353753</v>
      </c>
      <c r="H103" s="124">
        <f>PV(C93,D93,0,-I94)*Exchange_Rate</f>
        <v>1.8314658331353753</v>
      </c>
      <c r="I103" s="110">
        <f>H103*1.25</f>
        <v>2.2893322914192189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9705478143.583313</v>
      </c>
      <c r="E106" s="110">
        <f>(E100+E103)/2</f>
        <v>2.3345126511570609</v>
      </c>
      <c r="F106" s="124">
        <f>(F100+F103)/2</f>
        <v>3.3167405985092318</v>
      </c>
      <c r="H106" s="124">
        <f>(H100+H103)/2</f>
        <v>3.3167405985092318</v>
      </c>
      <c r="I106" s="110">
        <f>H106*1.25</f>
        <v>4.1459257481365395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