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A07F7BA-F563-40AD-BD79-1572D9BB5830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I46" i="3"/>
  <c r="J46" i="3" s="1"/>
  <c r="D62" i="3"/>
  <c r="D24" i="3"/>
  <c r="J47" i="3" l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<sst xmlns="http://schemas.openxmlformats.org/spreadsheetml/2006/main" count="350" uniqueCount="250">
  <si>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</si>
  <si>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</si>
  <si>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</si>
  <si>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</si>
  <si>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</si>
  <si>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</si>
  <si>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</si>
  <si>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</si>
  <si>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</si>
  <si>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</si>
  <si>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</si>
  <si>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</si>
  <si>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</si>
  <si>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</si>
  <si>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</si>
  <si>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</si>
  <si>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</si>
  <si>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</si>
  <si>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</si>
  <si>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</si>
  <si>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</si>
  <si>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</si>
  <si>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</si>
  <si>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</si>
  <si>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</si>
  <si>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</si>
  <si>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</si>
  <si>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</si>
  <si>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</si>
  <si>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</si>
  <si>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</si>
  <si>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</si>
  <si>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</si>
  <si>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</si>
  <si>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</si>
  <si>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</si>
  <si>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</si>
  <si>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</si>
  <si>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</si>
  <si>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</si>
  <si>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</si>
  <si>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</si>
  <si>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</si>
  <si>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</si>
  <si>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</si>
  <si>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</si>
  <si>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</si>
  <si>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</si>
  <si>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</si>
  <si>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</si>
  <si>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</si>
  <si>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</si>
  <si>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</si>
  <si>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</si>
  <si>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</si>
  <si>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</si>
  <si>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</si>
  <si>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</si>
  <si>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</si>
  <si>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</si>
  <si>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</si>
  <si>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</si>
  <si>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</si>
  <si>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</si>
  <si>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</si>
  <si>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</si>
  <si>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</si>
  <si>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</si>
  <si>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</si>
  <si>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</si>
  <si>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</si>
  <si>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</si>
  <si>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</si>
  <si>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</si>
  <si>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</si>
  <si>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</si>
  <si>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</si>
  <si>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</si>
  <si>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</si>
  <si>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</si>
  <si>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</si>
  <si>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</si>
  <si>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</si>
  <si>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</si>
  <si>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</si>
  <si>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</si>
  <si>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</si>
  <si>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</si>
  <si>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</si>
  <si>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</si>
  <si>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</si>
  <si>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</si>
  <si>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</si>
  <si>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</si>
  <si>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</si>
  <si>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</si>
  <si>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</si>
  <si>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</si>
  <si>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</si>
  <si>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</si>
  <si>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</si>
  <si>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</si>
  <si>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</si>
  <si>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</si>
  <si>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</si>
  <si>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</si>
  <si>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</si>
  <si>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</si>
  <si>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</si>
  <si>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</si>
  <si>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</si>
  <si>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</si>
  <si>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</si>
  <si>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</si>
  <si>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</si>
  <si>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</si>
  <si>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</si>
  <si>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</si>
  <si>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</si>
  <si>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</si>
  <si>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</si>
  <si>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</si>
  <si>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</si>
  <si>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</si>
  <si>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</si>
  <si>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</si>
  <si>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</si>
  <si>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</si>
  <si>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</si>
  <si>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</si>
  <si>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</si>
  <si>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</si>
  <si>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</si>
  <si>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</si>
  <si>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</si>
  <si>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</si>
  <si>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</si>
  <si>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</si>
  <si>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</si>
  <si>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</si>
  <si>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</si>
  <si>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</si>
  <si>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</si>
  <si>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</si>
  <si>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</si>
  <si>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</si>
  <si>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</si>
  <si>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</si>
  <si>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</si>
  <si>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</si>
  <si>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</si>
  <si>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</si>
  <si>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</si>
  <si>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</si>
  <si>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</si>
  <si>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</si>
  <si>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</si>
  <si>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</si>
  <si>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</si>
  <si>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</si>
  <si>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</si>
  <si>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</si>
  <si>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</si>
  <si>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</si>
  <si>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</si>
  <si>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</si>
  <si>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</si>
  <si>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</si>
  <si>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</si>
  <si>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</si>
  <si>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</si>
  <si>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</si>
  <si>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</si>
  <si>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</si>
  <si>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</si>
  <si>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</si>
  <si>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</si>
  <si>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</si>
  <si>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</si>
  <si>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</si>
  <si>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</si>
  <si>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</si>
  <si>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</si>
  <si>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</si>
  <si>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</si>
  <si>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</si>
  <si>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</si>
  <si>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</si>
  <si>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</si>
  <si>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</si>
  <si>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</si>
  <si>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</si>
  <si>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</si>
  <si>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</si>
  <si>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</si>
  <si>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</si>
  <si>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</si>
  <si>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</si>
  <si>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</si>
  <si>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</si>
  <si>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</si>
  <si>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</si>
  <si>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</si>
  <si>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</si>
  <si>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</si>
  <si>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</si>
  <si>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</si>
  <si>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</si>
  <si>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</si>
  <si>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</si>
  <si>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</si>
  <si>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</si>
  <si>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</si>
  <si>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</si>
  <si>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</si>
  <si>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</si>
  <si>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</si>
  <si>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</si>
  <si>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</si>
  <si>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</si>
  <si>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</si>
  <si>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</si>
  <si>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</si>
  <si>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</si>
  <si>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</si>
  <si>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</si>
  <si>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</si>
  <si>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</si>
  <si>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</si>
  <si>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</si>
  <si>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</si>
  <si>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</si>
  <si>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</si>
  <si>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</si>
  <si>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</si>
  <si>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</si>
  <si>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</si>
  <si>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</si>
  <si>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</si>
  <si>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</si>
  <si>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</si>
  <si>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</si>
  <si>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</si>
  <si>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</si>
  <si>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</si>
  <si>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</si>
  <si>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</si>
  <si>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1766.HK</t>
    <phoneticPr fontId="20" type="noConversion"/>
  </si>
  <si>
    <t>中国中车</t>
    <phoneticPr fontId="20" type="noConversion"/>
  </si>
  <si>
    <t>C0004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</si>
</sst>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1766.HK</v>
      </c>
      <c r="D3" s="247"/>
      <c r="E3" s="87"/>
      <c r="F3" s="3" t="s">
        <v>1</v>
      </c>
      <c r="G3" s="133">
        <v>4.8000001907348633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中国中车</v>
      </c>
      <c r="D4" s="249"/>
      <c r="E4" s="87"/>
      <c r="F4" s="3" t="s">
        <v>3</v>
      </c>
      <c r="G4" s="252">
        <f>Inputs!C10</f>
        <v>28698864088</v>
      </c>
      <c r="H4" s="252"/>
      <c r="I4" s="39"/>
    </row>
    <row r="5" spans="1:10" ht="15.75" customHeight="1" x14ac:dyDescent="0.4">
      <c r="B5" s="3" t="s">
        <v>175</v>
      </c>
      <c r="C5" s="250">
        <f>Inputs!C6</f>
        <v>45593</v>
      </c>
      <c r="D5" s="251"/>
      <c r="E5" s="34"/>
      <c r="F5" s="35" t="s">
        <v>102</v>
      </c>
      <c r="G5" s="244">
        <f>G3*G4/1000000</f>
        <v>137754.55309627391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C0004</v>
      </c>
      <c r="E7" s="87"/>
      <c r="F7" s="35" t="s">
        <v>6</v>
      </c>
      <c r="G7" s="134">
        <v>1.0742770036061604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0.78463553343209413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0.15995376005296372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6.5362849144738304E-5</v>
      </c>
      <c r="F23" s="141" t="s">
        <v>204</v>
      </c>
      <c r="G23" s="183">
        <f>G3/(Data!C36*Data!C4/Common_Shares*Exchange_Rate)</f>
        <v>0.64144958182639911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7.5819331185151814E-2</v>
      </c>
    </row>
    <row r="25" spans="1:8" ht="15.75" customHeight="1" x14ac:dyDescent="0.4">
      <c r="B25" s="138" t="s">
        <v>208</v>
      </c>
      <c r="C25" s="177">
        <f>Fin_Analysis!I82</f>
        <v>9.386945223960261E-6</v>
      </c>
      <c r="F25" s="141" t="s">
        <v>188</v>
      </c>
      <c r="G25" s="177">
        <f>Fin_Analysis!I88</f>
        <v>0.59037107474545347</v>
      </c>
    </row>
    <row r="26" spans="1:8" ht="15.75" customHeight="1" x14ac:dyDescent="0.4">
      <c r="B26" s="139" t="s">
        <v>187</v>
      </c>
      <c r="C26" s="177">
        <f>Fin_Analysis!I83</f>
        <v>5.5335956720573398E-2</v>
      </c>
      <c r="F26" s="142" t="s">
        <v>210</v>
      </c>
      <c r="G26" s="184">
        <f>Fin_Analysis!H88*Exchange_Rate/G3</f>
        <v>4.4761540038259558E-2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1.8467600073600148</v>
      </c>
      <c r="D29" s="130">
        <f>IF(Fin_Analysis!C108="Profit",Fin_Analysis!I100,IF(Fin_Analysis!C108="Dividend",Fin_Analysis!I103,Fin_Analysis!I106))</f>
        <v>3.2797123036998248</v>
      </c>
      <c r="E29" s="87"/>
      <c r="F29" s="132">
        <f>IF(Fin_Analysis!C108="Profit",Fin_Analysis!F100,IF(Fin_Analysis!C108="Dividend",Fin_Analysis!F103,Fin_Analysis!F106))</f>
        <v>2.6237698429598599</v>
      </c>
      <c r="G29" s="243">
        <f>IF(Fin_Analysis!C108="Profit",Fin_Analysis!H100,IF(Fin_Analysis!C108="Dividend",Fin_Analysis!H103,Fin_Analysis!H106))</f>
        <v>2.6237698429598599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20" sqref="C2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v>0.2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f>F5</f>
        <v>0.2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71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28698864088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234261514</v>
      </c>
      <c r="D19" s="152">
        <v>222938637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183809908</v>
      </c>
      <c r="D20" s="153">
        <v>177260463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37506984</v>
      </c>
      <c r="D21" s="153">
        <v>599182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35974</v>
      </c>
      <c r="D22" s="153">
        <v>32106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15312</v>
      </c>
      <c r="D24" s="153">
        <v>11600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-169280</v>
      </c>
      <c r="D25" s="153">
        <v>-50846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0</v>
      </c>
      <c r="D26" s="153">
        <v>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2199</v>
      </c>
      <c r="D27" s="153">
        <v>645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3160304</v>
      </c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>
        <v>131280367</v>
      </c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>
        <v>66848740</v>
      </c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734909</v>
      </c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18682</v>
      </c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6202</v>
      </c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10412</v>
      </c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2824568</v>
      </c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7297</v>
      </c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2868641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47742240</v>
      </c>
      <c r="D40" s="60">
        <v>0.9</v>
      </c>
      <c r="E40" s="113"/>
    </row>
    <row r="41" spans="2:13" ht="13.9" x14ac:dyDescent="0.4">
      <c r="B41" s="1" t="s">
        <v>146</v>
      </c>
      <c r="C41" s="59">
        <v>0</v>
      </c>
      <c r="D41" s="60">
        <v>0.8</v>
      </c>
      <c r="E41" s="113"/>
    </row>
    <row r="42" spans="2:13" ht="13.9" x14ac:dyDescent="0.4">
      <c r="B42" s="3" t="s">
        <v>121</v>
      </c>
      <c r="C42" s="59">
        <v>121633388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7768559</v>
      </c>
      <c r="D43" s="60">
        <v>0.6</v>
      </c>
      <c r="E43" s="113"/>
    </row>
    <row r="44" spans="2:13" ht="13.9" x14ac:dyDescent="0.4">
      <c r="B44" s="3" t="s">
        <v>44</v>
      </c>
      <c r="C44" s="59">
        <v>0</v>
      </c>
      <c r="D44" s="60">
        <v>0.5</v>
      </c>
      <c r="E44" s="113"/>
    </row>
    <row r="45" spans="2:13" ht="13.9" x14ac:dyDescent="0.4">
      <c r="B45" s="1" t="s">
        <v>170</v>
      </c>
      <c r="C45" s="59">
        <v>0</v>
      </c>
      <c r="D45" s="60">
        <f>D42</f>
        <v>0.6</v>
      </c>
      <c r="E45" s="113"/>
    </row>
    <row r="46" spans="2:13" ht="13.9" x14ac:dyDescent="0.4">
      <c r="B46" s="3" t="s">
        <v>122</v>
      </c>
      <c r="C46" s="59">
        <v>44533603</v>
      </c>
      <c r="D46" s="60">
        <v>0.1</v>
      </c>
      <c r="E46" s="113"/>
    </row>
    <row r="47" spans="2:13" ht="13.9" x14ac:dyDescent="0.4">
      <c r="B47" s="3" t="s">
        <v>47</v>
      </c>
      <c r="C47" s="59">
        <v>86201047</v>
      </c>
      <c r="D47" s="60">
        <f>D44</f>
        <v>0.5</v>
      </c>
      <c r="E47" s="113"/>
    </row>
    <row r="48" spans="2:13" ht="13.9" x14ac:dyDescent="0.4">
      <c r="B48" s="1" t="s">
        <v>48</v>
      </c>
      <c r="C48" s="59">
        <v>0</v>
      </c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>
        <v>0</v>
      </c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0</v>
      </c>
      <c r="D50" s="60">
        <f>D40</f>
        <v>0.9</v>
      </c>
      <c r="E50" s="113"/>
    </row>
    <row r="51" spans="2:5" ht="13.9" x14ac:dyDescent="0.4">
      <c r="B51" s="35" t="s">
        <v>51</v>
      </c>
      <c r="C51" s="121">
        <v>11709109</v>
      </c>
      <c r="D51" s="202">
        <f>D62</f>
        <v>0.05</v>
      </c>
      <c r="E51" s="113"/>
    </row>
    <row r="52" spans="2:5" ht="13.9" x14ac:dyDescent="0.4">
      <c r="B52" s="3" t="s">
        <v>61</v>
      </c>
      <c r="C52" s="59">
        <v>0</v>
      </c>
      <c r="D52" s="60">
        <f>D41</f>
        <v>0.8</v>
      </c>
      <c r="E52" s="113"/>
    </row>
    <row r="53" spans="2:5" ht="13.9" x14ac:dyDescent="0.4">
      <c r="B53" s="3" t="s">
        <v>63</v>
      </c>
      <c r="C53" s="59">
        <v>2881955</v>
      </c>
      <c r="D53" s="60">
        <f>D43</f>
        <v>0.6</v>
      </c>
      <c r="E53" s="113"/>
    </row>
    <row r="54" spans="2:5" ht="13.9" x14ac:dyDescent="0.4">
      <c r="B54" s="3" t="s">
        <v>65</v>
      </c>
      <c r="C54" s="59">
        <v>821946</v>
      </c>
      <c r="D54" s="60">
        <f>D44</f>
        <v>0.5</v>
      </c>
      <c r="E54" s="113"/>
    </row>
    <row r="55" spans="2:5" ht="13.9" x14ac:dyDescent="0.4">
      <c r="B55" s="1" t="s">
        <v>171</v>
      </c>
      <c r="C55" s="59">
        <v>0</v>
      </c>
      <c r="D55" s="60">
        <f>D54</f>
        <v>0.5</v>
      </c>
      <c r="E55" s="113"/>
    </row>
    <row r="56" spans="2:5" ht="13.9" x14ac:dyDescent="0.4">
      <c r="B56" s="3" t="s">
        <v>68</v>
      </c>
      <c r="C56" s="59">
        <v>7301425</v>
      </c>
      <c r="D56" s="60">
        <v>0.4</v>
      </c>
      <c r="E56" s="113"/>
    </row>
    <row r="57" spans="2:5" ht="13.9" x14ac:dyDescent="0.4">
      <c r="B57" s="3" t="s">
        <v>70</v>
      </c>
      <c r="C57" s="59">
        <v>21620835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>
        <v>805212</v>
      </c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6765810</v>
      </c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60750263</v>
      </c>
      <c r="D60" s="60">
        <f>D57</f>
        <v>0.1</v>
      </c>
      <c r="E60" s="113"/>
    </row>
    <row r="61" spans="2:5" ht="13.9" x14ac:dyDescent="0.4">
      <c r="B61" s="3" t="s">
        <v>73</v>
      </c>
      <c r="C61" s="59">
        <v>0</v>
      </c>
      <c r="D61" s="60">
        <f>D62</f>
        <v>0.05</v>
      </c>
      <c r="E61" s="113"/>
    </row>
    <row r="62" spans="2:5" ht="13.9" x14ac:dyDescent="0.4">
      <c r="B62" s="3" t="s">
        <v>74</v>
      </c>
      <c r="C62" s="59">
        <v>17178235</v>
      </c>
      <c r="D62" s="60">
        <v>0.05</v>
      </c>
      <c r="E62" s="113"/>
    </row>
    <row r="63" spans="2:5" ht="13.9" x14ac:dyDescent="0.4">
      <c r="B63" s="3" t="s">
        <v>75</v>
      </c>
      <c r="C63" s="59">
        <v>4163174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37623092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12970041</v>
      </c>
    </row>
    <row r="67" spans="2:3" ht="13.9" x14ac:dyDescent="0.4">
      <c r="B67" s="3" t="s">
        <v>40</v>
      </c>
      <c r="C67" s="59">
        <v>13416</v>
      </c>
    </row>
    <row r="68" spans="2:3" ht="13.9" x14ac:dyDescent="0.4">
      <c r="B68" s="3" t="s">
        <v>41</v>
      </c>
      <c r="C68" s="59">
        <v>0</v>
      </c>
    </row>
    <row r="69" spans="2:3" ht="13.9" x14ac:dyDescent="0.4">
      <c r="B69" s="86" t="s">
        <v>43</v>
      </c>
      <c r="C69" s="121">
        <v>9668</v>
      </c>
    </row>
    <row r="70" spans="2:3" ht="14.25" thickBot="1" x14ac:dyDescent="0.45">
      <c r="B70" s="80" t="s">
        <v>16</v>
      </c>
      <c r="C70" s="83">
        <v>255569971</v>
      </c>
    </row>
    <row r="71" spans="2:3" ht="14.25" thickTop="1" x14ac:dyDescent="0.4">
      <c r="B71" s="3" t="s">
        <v>62</v>
      </c>
      <c r="C71" s="59">
        <v>6315552</v>
      </c>
    </row>
    <row r="72" spans="2:3" ht="13.9" x14ac:dyDescent="0.4">
      <c r="B72" s="3" t="s">
        <v>64</v>
      </c>
      <c r="C72" s="59">
        <v>1694399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24023311</v>
      </c>
    </row>
    <row r="76" spans="2:3" ht="14.25" thickTop="1" x14ac:dyDescent="0.4">
      <c r="B76" s="73" t="s">
        <v>242</v>
      </c>
      <c r="C76" s="59">
        <v>160389894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234261514</v>
      </c>
      <c r="D6" s="209">
        <f>IF(Inputs!D19="","",Inputs!D19)</f>
        <v>222938637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183809908</v>
      </c>
      <c r="D8" s="208">
        <f>IF(Inputs!D20="","",Inputs!D20)</f>
        <v>177260463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50451606</v>
      </c>
      <c r="D9" s="154">
        <f t="shared" si="2"/>
        <v>45678174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37506984</v>
      </c>
      <c r="D10" s="208">
        <f>IF(Inputs!D21="","",Inputs!D21)</f>
        <v>599182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1.5356342314085786E-4</v>
      </c>
      <c r="D11" s="155">
        <f t="shared" ref="D11:M11" si="3">IF(OR(D6="",D12=""),"",D12/D6)</f>
        <v>1.4401272220929565E-4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35974</v>
      </c>
      <c r="D12" s="208">
        <f>IF(Inputs!D22="","",Inputs!D22)</f>
        <v>32106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12980596</v>
      </c>
      <c r="D13" s="154">
        <f t="shared" ref="D13:M13" si="4">IF(D6="","",(D9-D10+MAX(D12,0)))</f>
        <v>45111098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15312</v>
      </c>
      <c r="D15" s="208">
        <f>IF(Inputs!D24="","",Inputs!D24)</f>
        <v>11600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-169280</v>
      </c>
      <c r="D16" s="208">
        <f>IF(Inputs!D25="","",Inputs!D25)</f>
        <v>-50846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0</v>
      </c>
      <c r="D17" s="208">
        <f>IF(Inputs!D26="","",Inputs!D26)</f>
        <v>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2199</v>
      </c>
      <c r="D18" s="208">
        <f>IF(Inputs!D27="","",Inputs!D27)</f>
        <v>645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12941690</v>
      </c>
      <c r="D19" s="237">
        <f>IF(D6="","",D9-D10-MAX(D17,0)-MAX(D18,0)/(1-Fin_Analysis!$I$84))</f>
        <v>45078132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-0.71290536173947938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12962352</v>
      </c>
      <c r="D21" s="77">
        <f>IF(D6="","",D13-MAX(D14,0)-MAX(D15,0)-MAX(D16,0)-MAX(D17,0)-MAX(D18,0)/(1-Fin_Analysis!$I$84))</f>
        <v>45098638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-0.71257775013072455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4.149962080412406E-2</v>
      </c>
      <c r="D23" s="157">
        <f t="shared" si="7"/>
        <v>0.15171878215080323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9721764</v>
      </c>
      <c r="D24" s="77">
        <f>IF(D6="","",D21*(1-Fin_Analysis!$I$84))</f>
        <v>33823978.5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-0.71257775013072455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479499893</v>
      </c>
      <c r="D27" s="65">
        <f t="shared" ref="D27:M27" si="18">IF(D36="","",D36+D31+D32)</f>
        <v>3578159</v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319587946</v>
      </c>
      <c r="D28" s="208">
        <f>IF(Inputs!D28="","",Inputs!D28)</f>
        <v>3160304</v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121633388</v>
      </c>
      <c r="D29" s="208">
        <f>IF(Inputs!D29="","",Inputs!D29)</f>
        <v>131280367</v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86201047</v>
      </c>
      <c r="D30" s="208">
        <f>IF(Inputs!D30="","",Inputs!D30)</f>
        <v>66848740</v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255569971</v>
      </c>
      <c r="D31" s="208">
        <f>IF(Inputs!D31="","",Inputs!D31)</f>
        <v>734909</v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24023311</v>
      </c>
      <c r="D32" s="208">
        <f>IF(Inputs!D32="","",Inputs!D32)</f>
        <v>18682</v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12993125</v>
      </c>
      <c r="D33" s="208">
        <f>IF(Inputs!D33="","",Inputs!D33)</f>
        <v>6202</v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8009951</v>
      </c>
      <c r="D34" s="208">
        <f>IF(Inputs!D34="","",Inputs!D34)</f>
        <v>10412</v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21003076</v>
      </c>
      <c r="D35" s="77">
        <f t="shared" ref="D35" si="20">IF(OR(D33="",D34=""),"",D33+D34)</f>
        <v>16614</v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199906611</v>
      </c>
      <c r="D36" s="208">
        <f>IF(Inputs!D35="","",Inputs!D35)</f>
        <v>2824568</v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39516717</v>
      </c>
      <c r="D37" s="208">
        <f>IF(Inputs!D36="","",Inputs!D36)</f>
        <v>7297</v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81640747</v>
      </c>
      <c r="D38" s="208">
        <f>IF(Inputs!D37="","",Inputs!D37)</f>
        <v>2868641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397859146</v>
      </c>
      <c r="D39" s="65">
        <f>IF(D38="","",D27-D38)</f>
        <v>709518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3.2580253917299663E-2</v>
      </c>
      <c r="D40" s="160">
        <f>IF(D39="","",D21/D39)</f>
        <v>63.562359235424616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0.78463553343209413</v>
      </c>
      <c r="D42" s="161">
        <f t="shared" si="33"/>
        <v>0.79510875900797762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0.15995376005296372</v>
      </c>
      <c r="D43" s="157">
        <f t="shared" ref="D43:M43" si="34">IF(D6="","",(D10-MAX(D12,0))/D6)</f>
        <v>2.5436416389322414E-3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6.5362849144738304E-5</v>
      </c>
      <c r="D44" s="157">
        <f t="shared" ref="D44:M44" si="35">IF(D6="","",(MAX(D14,0)+MAX(D15,0))/D6)</f>
        <v>5.2032254956326836E-5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</v>
      </c>
      <c r="D46" s="157">
        <f t="shared" ref="D46:M46" si="37">IF(D6="","",MAX(D17,0)/D6)</f>
        <v>0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1.2515926965280349E-5</v>
      </c>
      <c r="D47" s="157">
        <f>IF(D6="","",MAX(D18,0)/(1-Fin_Analysis!$I$84)/D6)</f>
        <v>3.8575637295207831E-6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5.533282773883208E-2</v>
      </c>
      <c r="D48" s="157">
        <f t="shared" si="38"/>
        <v>0.20229170953440431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0.51922053231500931</v>
      </c>
      <c r="D50" s="161">
        <f t="shared" ref="D50:M50" si="39">IF(D29="","",D29/D6)</f>
        <v>0.58886323504346172</v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0.36796930715644566</v>
      </c>
      <c r="D51" s="157">
        <f t="shared" ref="D51:M51" si="40">IF(D30="","",D30/D6)</f>
        <v>0.29985264510251758</v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0.58309352323463393</v>
      </c>
      <c r="D53" s="161">
        <f t="shared" ref="D53:M53" si="41">IF(D36="","",(D27-D36)/D27)</f>
        <v>0.21060858391144721</v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0.61716445724426272</v>
      </c>
      <c r="D54" s="162">
        <f t="shared" ref="D54:M54" si="42">IF(OR(D21="",D35=""),"",IF(D35&lt;=0,"-",D21/D35))</f>
        <v>2714.4960876369328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 t="str">
        <f>IF(C21="","",IF(MAX(C17,0)&lt;=0,"-",C17/C21))</f>
        <v>-</v>
      </c>
      <c r="D55" s="157" t="str">
        <f t="shared" ref="D55:M55" si="43">IF(D21="","",IF(MAX(D17,0)&lt;=0,"-",D17/D21))</f>
        <v>-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1.250490989804119</v>
      </c>
      <c r="D56" s="163">
        <f t="shared" si="44"/>
        <v>4.3002657471877468</v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6" zoomScaleNormal="100" workbookViewId="0">
      <selection activeCell="E105" sqref="E10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199906611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160389894</v>
      </c>
      <c r="K3" s="24"/>
    </row>
    <row r="4" spans="1:11" ht="15" customHeight="1" x14ac:dyDescent="0.4">
      <c r="B4" s="3" t="s">
        <v>25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1.250490989804119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-141396616.37810975</v>
      </c>
      <c r="E6" s="56">
        <f>1-D6/D3</f>
        <v>1.7073133583266527</v>
      </c>
      <c r="F6" s="87"/>
      <c r="G6" s="87"/>
      <c r="H6" s="1" t="s">
        <v>30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47742240</v>
      </c>
      <c r="D11" s="207">
        <f>Inputs!D40</f>
        <v>0.9</v>
      </c>
      <c r="E11" s="88">
        <f t="shared" ref="E11:E22" si="0">C11*D11</f>
        <v>42968016</v>
      </c>
      <c r="F11" s="113"/>
      <c r="G11" s="87"/>
      <c r="H11" s="3" t="s">
        <v>39</v>
      </c>
      <c r="I11" s="40">
        <f>Inputs!C66</f>
        <v>12970041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13416</v>
      </c>
      <c r="J12" s="87"/>
      <c r="K12" s="24"/>
    </row>
    <row r="13" spans="1:11" ht="13.9" x14ac:dyDescent="0.4">
      <c r="B13" s="3" t="s">
        <v>121</v>
      </c>
      <c r="C13" s="40">
        <f>Inputs!C42</f>
        <v>121633388</v>
      </c>
      <c r="D13" s="207">
        <f>Inputs!D42</f>
        <v>0.6</v>
      </c>
      <c r="E13" s="88">
        <f t="shared" si="0"/>
        <v>72980032.799999997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7768559</v>
      </c>
      <c r="D14" s="207">
        <f>Inputs!D43</f>
        <v>0.6</v>
      </c>
      <c r="E14" s="88">
        <f t="shared" si="0"/>
        <v>4661135.3999999994</v>
      </c>
      <c r="F14" s="113"/>
      <c r="G14" s="87"/>
      <c r="H14" s="86" t="s">
        <v>43</v>
      </c>
      <c r="I14" s="214">
        <f>Inputs!C69</f>
        <v>9668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12993125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44533603</v>
      </c>
      <c r="D17" s="207">
        <f>Inputs!D46</f>
        <v>0.1</v>
      </c>
      <c r="E17" s="88">
        <f t="shared" si="0"/>
        <v>4453360.3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86201047</v>
      </c>
      <c r="D18" s="207">
        <f>Inputs!D47</f>
        <v>0.5</v>
      </c>
      <c r="E18" s="88">
        <f t="shared" si="0"/>
        <v>43100523.5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11709109</v>
      </c>
      <c r="D22" s="207">
        <f>Inputs!D51</f>
        <v>0.05</v>
      </c>
      <c r="E22" s="88">
        <f t="shared" si="0"/>
        <v>585455.45000000007</v>
      </c>
      <c r="F22" s="113"/>
      <c r="G22" s="87"/>
      <c r="H22" s="3" t="s">
        <v>45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4">
        <f>E24/$E$28</f>
        <v>0.71472734536688487</v>
      </c>
      <c r="G24" s="87"/>
    </row>
    <row r="25" spans="2:10" ht="15" customHeight="1" x14ac:dyDescent="0.4">
      <c r="B25" s="23" t="s">
        <v>55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4">
        <f>E25/$E$28</f>
        <v>2.6390514174303433E-2</v>
      </c>
      <c r="G25" s="87"/>
      <c r="H25" s="23" t="s">
        <v>56</v>
      </c>
      <c r="I25" s="63">
        <f>E28/I28</f>
        <v>0.66028306373286705</v>
      </c>
    </row>
    <row r="26" spans="2:10" ht="15" customHeight="1" x14ac:dyDescent="0.4">
      <c r="B26" s="23" t="s">
        <v>57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4">
        <f>E26/$E$28</f>
        <v>0.25541274447222434</v>
      </c>
      <c r="G26" s="87"/>
      <c r="H26" s="23" t="s">
        <v>58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4">
        <f>E27/$E$28</f>
        <v>3.4693959865875206E-3</v>
      </c>
      <c r="G27" s="87"/>
      <c r="H27" s="23" t="s">
        <v>60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3"/>
      <c r="G28" s="87"/>
      <c r="H28" s="78" t="s">
        <v>16</v>
      </c>
      <c r="I28" s="215">
        <f>Inputs!C70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6315552</v>
      </c>
      <c r="J30" s="87"/>
    </row>
    <row r="31" spans="2:10" ht="15" customHeight="1" x14ac:dyDescent="0.4">
      <c r="B31" s="3" t="s">
        <v>63</v>
      </c>
      <c r="C31" s="40">
        <f>Inputs!C53</f>
        <v>2881955</v>
      </c>
      <c r="D31" s="207">
        <f>Inputs!D53</f>
        <v>0.6</v>
      </c>
      <c r="E31" s="88">
        <f t="shared" ref="E31:E42" si="1">C31*D31</f>
        <v>1729173</v>
      </c>
      <c r="F31" s="113"/>
      <c r="G31" s="87"/>
      <c r="H31" s="3" t="s">
        <v>64</v>
      </c>
      <c r="I31" s="40">
        <f>Inputs!C72</f>
        <v>1694399</v>
      </c>
      <c r="J31" s="87"/>
    </row>
    <row r="32" spans="2:10" ht="15" customHeight="1" x14ac:dyDescent="0.4">
      <c r="B32" s="3" t="s">
        <v>65</v>
      </c>
      <c r="C32" s="40">
        <f>Inputs!C54</f>
        <v>821946</v>
      </c>
      <c r="D32" s="207">
        <f>Inputs!D54</f>
        <v>0.5</v>
      </c>
      <c r="E32" s="88">
        <f t="shared" si="1"/>
        <v>410973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7301425</v>
      </c>
      <c r="D34" s="207">
        <f>Inputs!D56</f>
        <v>0.4</v>
      </c>
      <c r="E34" s="88">
        <f t="shared" si="1"/>
        <v>2920570</v>
      </c>
      <c r="F34" s="113"/>
      <c r="G34" s="87"/>
      <c r="H34" s="1" t="s">
        <v>78</v>
      </c>
      <c r="I34" s="84">
        <f>SUM(I30:I33)</f>
        <v>8009951</v>
      </c>
      <c r="J34" s="87"/>
    </row>
    <row r="35" spans="2:10" ht="13.9" x14ac:dyDescent="0.4">
      <c r="B35" s="3" t="s">
        <v>70</v>
      </c>
      <c r="C35" s="40">
        <f>Inputs!C57</f>
        <v>21620835</v>
      </c>
      <c r="D35" s="207">
        <f>Inputs!D57</f>
        <v>0.1</v>
      </c>
      <c r="E35" s="88">
        <f t="shared" si="1"/>
        <v>2162083.5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805212</v>
      </c>
      <c r="D36" s="207">
        <f>Inputs!D58</f>
        <v>0.2</v>
      </c>
      <c r="E36" s="88">
        <f t="shared" si="1"/>
        <v>161042.40000000002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6765810</v>
      </c>
      <c r="D37" s="207">
        <f>Inputs!D59</f>
        <v>0.1</v>
      </c>
      <c r="E37" s="88">
        <f t="shared" si="1"/>
        <v>676581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60750263</v>
      </c>
      <c r="D38" s="207">
        <f>Inputs!D60</f>
        <v>0.1</v>
      </c>
      <c r="E38" s="88">
        <f t="shared" si="1"/>
        <v>6075026.3000000007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17178235</v>
      </c>
      <c r="D40" s="207">
        <f>Inputs!D62</f>
        <v>0.05</v>
      </c>
      <c r="E40" s="88">
        <f t="shared" si="1"/>
        <v>858911.75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4163174</v>
      </c>
      <c r="D41" s="207">
        <f>Inputs!D63</f>
        <v>0.9</v>
      </c>
      <c r="E41" s="88">
        <f t="shared" si="1"/>
        <v>3746856.6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37623092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81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83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85</v>
      </c>
      <c r="I48" s="216">
        <f>Inputs!C75</f>
        <v>24023311</v>
      </c>
      <c r="J48" s="8"/>
    </row>
    <row r="49" spans="2:11" ht="15" customHeight="1" thickTop="1" x14ac:dyDescent="0.4">
      <c r="B49" s="3" t="s">
        <v>14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86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21003076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47742240</v>
      </c>
      <c r="D62" s="108">
        <f t="shared" si="2"/>
        <v>0.9</v>
      </c>
      <c r="E62" s="119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234261514</v>
      </c>
      <c r="D74" s="218"/>
      <c r="E74" s="205">
        <f>H74</f>
        <v>234261514</v>
      </c>
      <c r="F74" s="218"/>
      <c r="H74" s="205">
        <f>C74</f>
        <v>234261514</v>
      </c>
      <c r="I74" s="218"/>
      <c r="K74" s="24"/>
    </row>
    <row r="75" spans="1:11" ht="15" customHeight="1" x14ac:dyDescent="0.4">
      <c r="B75" s="105" t="s">
        <v>109</v>
      </c>
      <c r="C75" s="77">
        <f>Data!C8</f>
        <v>183809908</v>
      </c>
      <c r="D75" s="164">
        <f>C75/$C$74</f>
        <v>0.78463553343209413</v>
      </c>
      <c r="E75" s="186">
        <f>E74*F75</f>
        <v>183809908</v>
      </c>
      <c r="F75" s="165">
        <f>I75</f>
        <v>0.78463553343209413</v>
      </c>
      <c r="H75" s="205">
        <f>D75*H74</f>
        <v>183809908</v>
      </c>
      <c r="I75" s="165">
        <f>H75/$H$74</f>
        <v>0.78463553343209413</v>
      </c>
      <c r="K75" s="24"/>
    </row>
    <row r="76" spans="1:11" ht="15" customHeight="1" x14ac:dyDescent="0.4">
      <c r="B76" s="35" t="s">
        <v>96</v>
      </c>
      <c r="C76" s="166">
        <f>C74-C75</f>
        <v>50451606</v>
      </c>
      <c r="D76" s="219"/>
      <c r="E76" s="167">
        <f>E74-E75</f>
        <v>50451606</v>
      </c>
      <c r="F76" s="219"/>
      <c r="H76" s="167">
        <f>H74-H75</f>
        <v>50451606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37471010</v>
      </c>
      <c r="D77" s="164">
        <f>C77/$C$74</f>
        <v>0.15995376005296372</v>
      </c>
      <c r="E77" s="186">
        <f>E74*F77</f>
        <v>37471010</v>
      </c>
      <c r="F77" s="165">
        <f>I77</f>
        <v>0.15995376005296372</v>
      </c>
      <c r="H77" s="205">
        <f>D77*H74</f>
        <v>37471010</v>
      </c>
      <c r="I77" s="165">
        <f>H77/$H$74</f>
        <v>0.15995376005296372</v>
      </c>
      <c r="K77" s="24"/>
    </row>
    <row r="78" spans="1:11" ht="15" customHeight="1" x14ac:dyDescent="0.4">
      <c r="B78" s="35" t="s">
        <v>97</v>
      </c>
      <c r="C78" s="166">
        <f>C76-C77</f>
        <v>12980596</v>
      </c>
      <c r="D78" s="219"/>
      <c r="E78" s="167">
        <f>E76-E77</f>
        <v>12980596</v>
      </c>
      <c r="F78" s="219"/>
      <c r="H78" s="167">
        <f>H76-H77</f>
        <v>12980596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0</v>
      </c>
      <c r="D79" s="164">
        <f>C79/$C$74</f>
        <v>0</v>
      </c>
      <c r="E79" s="186">
        <f>E74*F79</f>
        <v>0</v>
      </c>
      <c r="F79" s="165">
        <f t="shared" ref="F79:F84" si="3">I79</f>
        <v>0</v>
      </c>
      <c r="H79" s="205">
        <f>C79</f>
        <v>0</v>
      </c>
      <c r="I79" s="165">
        <f>H79/$H$74</f>
        <v>0</v>
      </c>
      <c r="K79" s="24"/>
    </row>
    <row r="80" spans="1:11" ht="15" customHeight="1" x14ac:dyDescent="0.4">
      <c r="B80" s="28" t="s">
        <v>135</v>
      </c>
      <c r="C80" s="77">
        <f>MAX(Data!C14,0)+MAX(Data!C15,0)</f>
        <v>15312</v>
      </c>
      <c r="D80" s="164">
        <f>C80/$C$74</f>
        <v>6.5362849144738304E-5</v>
      </c>
      <c r="E80" s="186">
        <f>E74*F80</f>
        <v>15312</v>
      </c>
      <c r="F80" s="165">
        <f t="shared" si="3"/>
        <v>6.5362849144738304E-5</v>
      </c>
      <c r="H80" s="205">
        <f>H74*D80</f>
        <v>15312</v>
      </c>
      <c r="I80" s="165">
        <f>H80/$H$74</f>
        <v>6.5362849144738304E-5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2199</v>
      </c>
      <c r="D82" s="164">
        <f>C82/$C$74</f>
        <v>9.386945223960261E-6</v>
      </c>
      <c r="E82" s="186">
        <f>E74*F82</f>
        <v>2199</v>
      </c>
      <c r="F82" s="165">
        <f t="shared" si="3"/>
        <v>9.386945223960261E-6</v>
      </c>
      <c r="H82" s="205">
        <f>H74*D82</f>
        <v>2199</v>
      </c>
      <c r="I82" s="165">
        <f>H82/$H$74</f>
        <v>9.386945223960261E-6</v>
      </c>
      <c r="K82" s="24"/>
    </row>
    <row r="83" spans="1:11" ht="15" customHeight="1" thickBot="1" x14ac:dyDescent="0.45">
      <c r="B83" s="106" t="s">
        <v>134</v>
      </c>
      <c r="C83" s="168">
        <f>C78-C79-C80-C81-C82</f>
        <v>12963085</v>
      </c>
      <c r="D83" s="169">
        <f>C83/$C$74</f>
        <v>5.5335956720573398E-2</v>
      </c>
      <c r="E83" s="170">
        <f>E78-E79-E80-E81-E82</f>
        <v>12963085</v>
      </c>
      <c r="F83" s="169">
        <f>E83/E74</f>
        <v>5.5335956720573398E-2</v>
      </c>
      <c r="H83" s="170">
        <f>H78-H79-H80-H81-H82</f>
        <v>12963085</v>
      </c>
      <c r="I83" s="169">
        <f>H83/$H$74</f>
        <v>5.5335956720573398E-2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9722313.75</v>
      </c>
      <c r="D85" s="171">
        <f>C85/$C$74</f>
        <v>4.1501967540430049E-2</v>
      </c>
      <c r="E85" s="172">
        <f>E83*(1-F84)</f>
        <v>9722313.75</v>
      </c>
      <c r="F85" s="171">
        <f>E85/E74</f>
        <v>4.1501967540430049E-2</v>
      </c>
      <c r="H85" s="172">
        <f>H83*(1-I84)</f>
        <v>9722313.75</v>
      </c>
      <c r="I85" s="171">
        <f>H85/$H$74</f>
        <v>4.1501967540430049E-2</v>
      </c>
      <c r="K85" s="24"/>
    </row>
    <row r="86" spans="1:11" ht="15" customHeight="1" x14ac:dyDescent="0.4">
      <c r="B86" s="87" t="s">
        <v>172</v>
      </c>
      <c r="C86" s="173">
        <f>C85*Data!C4/Common_Shares</f>
        <v>0.33876998476971915</v>
      </c>
      <c r="D86" s="218"/>
      <c r="E86" s="174">
        <f>E85*Data!C4/Common_Shares</f>
        <v>0.33876998476971915</v>
      </c>
      <c r="F86" s="218"/>
      <c r="H86" s="174">
        <f>H85*Data!C4/Common_Shares</f>
        <v>0.33876998476971915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7.5819331185151814E-2</v>
      </c>
      <c r="D87" s="218"/>
      <c r="E87" s="239">
        <f>E86*Exchange_Rate/Dashboard!G3</f>
        <v>7.5819331185151814E-2</v>
      </c>
      <c r="F87" s="218"/>
      <c r="H87" s="239">
        <f>H86*Exchange_Rate/Dashboard!G3</f>
        <v>7.5819331185151814E-2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0.2</v>
      </c>
      <c r="D88" s="171">
        <f>C88/C86</f>
        <v>0.59037107474545347</v>
      </c>
      <c r="E88" s="204">
        <f>H88</f>
        <v>0.2</v>
      </c>
      <c r="F88" s="171">
        <f>E88/E86</f>
        <v>0.59037107474545347</v>
      </c>
      <c r="H88" s="176">
        <f>Inputs!F6</f>
        <v>0.2</v>
      </c>
      <c r="I88" s="171">
        <f>H88/H86</f>
        <v>0.59037107474545347</v>
      </c>
      <c r="K88" s="24"/>
    </row>
    <row r="89" spans="1:11" ht="15" customHeight="1" x14ac:dyDescent="0.4">
      <c r="B89" s="87" t="s">
        <v>246</v>
      </c>
      <c r="C89" s="165">
        <f>C88*Exchange_Rate/Dashboard!G3</f>
        <v>4.4761540038259558E-2</v>
      </c>
      <c r="D89" s="218"/>
      <c r="E89" s="165">
        <f>E88*Exchange_Rate/Dashboard!G3</f>
        <v>4.4761540038259558E-2</v>
      </c>
      <c r="F89" s="218"/>
      <c r="H89" s="165">
        <f>H88*Exchange_Rate/Dashboard!G3</f>
        <v>4.4761540038259558E-2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6.7806159517928908</v>
      </c>
      <c r="H93" s="87" t="s">
        <v>229</v>
      </c>
      <c r="I93" s="146">
        <f>FV(H87,D93,0,-(H86/C93))</f>
        <v>6.7806159517928908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3.457668740857534</v>
      </c>
      <c r="H94" s="87" t="s">
        <v>230</v>
      </c>
      <c r="I94" s="146">
        <f>FV(H89,D93,0,-(H88/C93))</f>
        <v>3.457668740857534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147664536.62698621</v>
      </c>
      <c r="E97" s="124">
        <f>PV(C94,D93,0,-F93)*Exchange_Rate</f>
        <v>3.6215645001125405</v>
      </c>
      <c r="F97" s="124">
        <f>PV(C93,D93,0,-F93)*Exchange_Rate</f>
        <v>5.1453094510709194</v>
      </c>
      <c r="H97" s="124">
        <f>PV(C93,D93,0,-I93)*Exchange_Rate</f>
        <v>5.1453094510709194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42451900.331112623</v>
      </c>
      <c r="E98" s="222"/>
      <c r="F98" s="222"/>
      <c r="H98" s="124">
        <f>C98*Data!$C$4/Common_Shares</f>
        <v>1.4792188360118146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-98944716.04699716</v>
      </c>
      <c r="E99" s="223"/>
      <c r="F99" s="148">
        <f>IF(H99&gt;0,H99*0.85,H99*1.15)</f>
        <v>-3.9648406677400452</v>
      </c>
      <c r="H99" s="148">
        <f>C99*Data!$C$4/Common_Shares</f>
        <v>-3.4476875371652569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6267920.2488764226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0.21840307789384805</v>
      </c>
      <c r="I100" s="110">
        <f>H100*1.25</f>
        <v>0.27300384736731009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75299214.121298119</v>
      </c>
      <c r="E103" s="110">
        <f>PV(C94,D93,0,-F94)*Exchange_Rate</f>
        <v>1.8467600073600148</v>
      </c>
      <c r="F103" s="124">
        <f>PV(C93,D93,0,-F94)*Exchange_Rate</f>
        <v>2.6237698429598599</v>
      </c>
      <c r="H103" s="124">
        <f>PV(C93,D93,0,-I94)*Exchange_Rate</f>
        <v>2.6237698429598599</v>
      </c>
      <c r="I103" s="110">
        <f>H103*1.25</f>
        <v>3.2797123036998248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37649607.06064906</v>
      </c>
      <c r="E106" s="110">
        <f>(E100+E103)/2</f>
        <v>0.92338000368000739</v>
      </c>
      <c r="F106" s="124">
        <f>(F100+F103)/2</f>
        <v>1.31188492147993</v>
      </c>
      <c r="H106" s="124">
        <f>(H100+H103)/2</f>
        <v>1.421086460426854</v>
      </c>
      <c r="I106" s="110">
        <f>H106*1.25</f>
        <v>1.7763580755335675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