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E7ED9B9-EAC5-41EE-A55B-2F75B0BA5DE5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E88" i="3"/>
  <c r="C87" i="3"/>
  <c r="F5" i="4"/>
  <c r="F36" i="3" l="1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<sst xmlns="http://schemas.openxmlformats.org/spreadsheetml/2006/main" count="350" uniqueCount="250">
  <si>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</si>
  <si>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</si>
  <si>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</si>
  <si>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</si>
  <si>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</si>
  <si>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</si>
  <si>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</si>
  <si>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</si>
  <si>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</si>
  <si>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</si>
  <si>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</si>
  <si>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</si>
  <si>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</si>
  <si>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</si>
  <si>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</si>
  <si>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</si>
  <si>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</si>
  <si>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</si>
  <si>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</si>
  <si>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</si>
  <si>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</si>
  <si>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</si>
  <si>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</si>
  <si>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</si>
  <si>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</si>
  <si>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</si>
  <si>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</si>
  <si>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</si>
  <si>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</si>
  <si>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</si>
  <si>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</si>
  <si>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</si>
  <si>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</si>
  <si>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</si>
  <si>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</si>
  <si>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</si>
  <si>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</si>
  <si>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</si>
  <si>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</si>
  <si>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</si>
  <si>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</si>
  <si>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</si>
  <si>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</si>
  <si>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</si>
  <si>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</si>
  <si>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</si>
  <si>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</si>
  <si>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</si>
  <si>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</si>
  <si>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</si>
  <si>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</si>
  <si>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</si>
  <si>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</si>
  <si>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</si>
  <si>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</si>
  <si>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</si>
  <si>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</si>
  <si>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</si>
  <si>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</si>
  <si>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</si>
  <si>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</si>
  <si>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</si>
  <si>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</si>
  <si>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</si>
  <si>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</si>
  <si>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</si>
  <si>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</si>
  <si>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</si>
  <si>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</si>
  <si>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</si>
  <si>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</si>
  <si>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</si>
  <si>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</si>
  <si>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</si>
  <si>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</si>
  <si>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</si>
  <si>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</si>
  <si>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</si>
  <si>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</si>
  <si>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</si>
  <si>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</si>
  <si>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</si>
  <si>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</si>
  <si>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</si>
  <si>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</si>
  <si>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</si>
  <si>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</si>
  <si>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</si>
  <si>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</si>
  <si>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</si>
  <si>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</si>
  <si>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</si>
  <si>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</si>
  <si>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</si>
  <si>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</si>
  <si>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</si>
  <si>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</si>
  <si>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</si>
  <si>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</si>
  <si>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</si>
  <si>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</si>
  <si>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</si>
  <si>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</si>
  <si>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</si>
  <si>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</si>
  <si>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</si>
  <si>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</si>
  <si>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</si>
  <si>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</si>
  <si>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</si>
  <si>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</si>
  <si>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</si>
  <si>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</si>
  <si>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</si>
  <si>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</si>
  <si>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</si>
  <si>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</si>
  <si>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</si>
  <si>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</si>
  <si>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</si>
  <si>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</si>
  <si>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</si>
  <si>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</si>
  <si>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</si>
  <si>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</si>
  <si>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</si>
  <si>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</si>
  <si>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</si>
  <si>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</si>
  <si>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</si>
  <si>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</si>
  <si>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</si>
  <si>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</si>
  <si>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</si>
  <si>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</si>
  <si>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</si>
  <si>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</si>
  <si>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</si>
  <si>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</si>
  <si>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</si>
  <si>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</si>
  <si>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</si>
  <si>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</si>
  <si>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</si>
  <si>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</si>
  <si>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</si>
  <si>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</si>
  <si>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</si>
  <si>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</si>
  <si>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</si>
  <si>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</si>
  <si>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</si>
  <si>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</si>
  <si>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</si>
  <si>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</si>
  <si>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</si>
  <si>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</si>
  <si>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</si>
  <si>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</si>
  <si>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</si>
  <si>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</si>
  <si>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</si>
  <si>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</si>
  <si>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</si>
  <si>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</si>
  <si>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</si>
  <si>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</si>
  <si>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</si>
  <si>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</si>
  <si>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</si>
  <si>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</si>
  <si>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</si>
  <si>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</si>
  <si>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</si>
  <si>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</si>
  <si>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</si>
  <si>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</si>
  <si>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</si>
  <si>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</si>
  <si>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</si>
  <si>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</si>
  <si>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</si>
  <si>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</si>
  <si>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</si>
  <si>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</si>
  <si>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</si>
  <si>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</si>
  <si>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</si>
  <si>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</si>
  <si>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</si>
  <si>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</si>
  <si>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</si>
  <si>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</si>
  <si>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</si>
  <si>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</si>
  <si>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</si>
  <si>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</si>
  <si>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</si>
  <si>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</si>
  <si>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</si>
  <si>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</si>
  <si>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</si>
  <si>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</si>
  <si>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</si>
  <si>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</si>
  <si>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</si>
  <si>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</si>
  <si>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</si>
  <si>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</si>
  <si>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</si>
  <si>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</si>
  <si>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</si>
  <si>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</si>
  <si>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</si>
  <si>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</si>
  <si>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</si>
  <si>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</si>
  <si>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</si>
  <si>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</si>
  <si>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</si>
  <si>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</si>
  <si>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</si>
  <si>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</si>
  <si>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</si>
  <si>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</si>
  <si>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</si>
  <si>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</si>
  <si>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</si>
  <si>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</si>
  <si>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</si>
  <si>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</si>
  <si>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</si>
  <si>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</si>
  <si>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</si>
  <si>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</si>
  <si>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</si>
  <si>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</si>
  <si>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</si>
  <si>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</si>
  <si>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</si>
  <si>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</si>
  <si>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</si>
  <si>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</si>
  <si>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</si>
  <si>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</si>
  <si>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</si>
  <si>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3328.HK</t>
    <phoneticPr fontId="20" type="noConversion"/>
  </si>
  <si>
    <t>交通银行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</si>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</sst>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9" sqref="D1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3328.HK</v>
      </c>
      <c r="D3" s="246"/>
      <c r="E3" s="87"/>
      <c r="F3" s="3" t="s">
        <v>1</v>
      </c>
      <c r="G3" s="133">
        <v>5.880000114440918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交通银行</v>
      </c>
      <c r="D4" s="248"/>
      <c r="E4" s="87"/>
      <c r="F4" s="3" t="s">
        <v>3</v>
      </c>
      <c r="G4" s="251">
        <f>Inputs!C10</f>
        <v>74262726645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436664.84117129463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8.1734249293405042E-3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0.19791759120646774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0.583299310268654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0.196059037978629</v>
      </c>
    </row>
    <row r="25" spans="1:8" ht="15.75" customHeight="1" x14ac:dyDescent="0.4">
      <c r="B25" s="138" t="s">
        <v>208</v>
      </c>
      <c r="C25" s="177">
        <f>Fin_Analysis!I82</f>
        <v>1.0335122256212414E-3</v>
      </c>
      <c r="F25" s="141" t="s">
        <v>188</v>
      </c>
      <c r="G25" s="177">
        <f>Fin_Analysis!I88</f>
        <v>0.34944863230187184</v>
      </c>
    </row>
    <row r="26" spans="1:8" ht="15.75" customHeight="1" x14ac:dyDescent="0.4">
      <c r="B26" s="139" t="s">
        <v>187</v>
      </c>
      <c r="C26" s="177">
        <f>Fin_Analysis!I83</f>
        <v>0.2095761613699165</v>
      </c>
      <c r="F26" s="142" t="s">
        <v>210</v>
      </c>
      <c r="G26" s="184">
        <f>Fin_Analysis!H88*Exchange_Rate/G3</f>
        <v>6.8512562672052663E-2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3.8745744624475686</v>
      </c>
      <c r="D29" s="130">
        <f>IF(Fin_Analysis!C108="Profit",Fin_Analysis!I100,IF(Fin_Analysis!C108="Dividend",Fin_Analysis!I103,Fin_Analysis!I106))</f>
        <v>6.8809642213641355</v>
      </c>
      <c r="E29" s="87"/>
      <c r="F29" s="132">
        <f>IF(Fin_Analysis!C108="Profit",Fin_Analysis!F100,IF(Fin_Analysis!C108="Dividend",Fin_Analysis!F103,Fin_Analysis!F106))</f>
        <v>5.5047713770913083</v>
      </c>
      <c r="G29" s="242">
        <f>IF(Fin_Analysis!C108="Profit",Fin_Analysis!H100,IF(Fin_Analysis!C108="Dividend",Fin_Analysis!H103,Fin_Analysis!H106))</f>
        <v>5.5047713770913083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13" sqref="D13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246</v>
      </c>
      <c r="F4" s="201" t="s">
        <v>227</v>
      </c>
    </row>
    <row r="5" spans="1:6" ht="13.9" x14ac:dyDescent="0.4">
      <c r="B5" s="142" t="s">
        <v>212</v>
      </c>
      <c r="C5" s="240" t="s">
        <v>247</v>
      </c>
      <c r="E5" s="231">
        <f>C18</f>
        <v>45291</v>
      </c>
      <c r="F5" s="232">
        <f>0.375+0.182</f>
        <v>0.55699999999999994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0.375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74262726645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507009</v>
      </c>
      <c r="D19" s="152">
        <v>467406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4144</v>
      </c>
      <c r="D20" s="153">
        <v>4484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100346</v>
      </c>
      <c r="D21" s="153">
        <v>96923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295738</v>
      </c>
      <c r="D26" s="153">
        <v>248185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524</v>
      </c>
      <c r="D27" s="153">
        <v>-147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106082.33333333333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507009</v>
      </c>
      <c r="D6" s="209">
        <f>IF(Inputs!D19="","",Inputs!D19)</f>
        <v>467406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4144</v>
      </c>
      <c r="D8" s="208">
        <f>IF(Inputs!D20="","",Inputs!D20)</f>
        <v>4484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502865</v>
      </c>
      <c r="D9" s="154">
        <f t="shared" si="2"/>
        <v>462922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100346</v>
      </c>
      <c r="D10" s="208">
        <f>IF(Inputs!D21="","",Inputs!D21)</f>
        <v>96923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402519</v>
      </c>
      <c r="D13" s="154">
        <f t="shared" ref="D13:M13" si="4">IF(D6="","",(D9-D10+MAX(D12,0)))</f>
        <v>365999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295738</v>
      </c>
      <c r="D17" s="208">
        <f>IF(Inputs!D26="","",Inputs!D26)</f>
        <v>248185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524</v>
      </c>
      <c r="D18" s="208">
        <f>IF(Inputs!D27="","",Inputs!D27)</f>
        <v>-147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106082.33333333333</v>
      </c>
      <c r="D19" s="237">
        <f>IF(D6="","",D9-D10-MAX(D17,0)-MAX(D18,0)/(1-Fin_Analysis!$I$84))</f>
        <v>117814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-9.9577865675273491E-2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106082.33333333333</v>
      </c>
      <c r="D21" s="77">
        <f>IF(D6="","",D13-MAX(D14,0)-MAX(D15,0)-MAX(D16,0)-MAX(D17,0)-MAX(D18,0)/(1-Fin_Analysis!$I$84))</f>
        <v>117814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-9.9577865675273491E-2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0.15692374297103207</v>
      </c>
      <c r="D23" s="157">
        <f t="shared" si="7"/>
        <v>0.18904442818449058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79561.75</v>
      </c>
      <c r="D24" s="77">
        <f>IF(D6="","",D21*(1-Fin_Analysis!$I$84))</f>
        <v>88360.5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-9.957786567527345E-2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8.1734249293405042E-3</v>
      </c>
      <c r="D42" s="161">
        <f t="shared" si="33"/>
        <v>9.593372785116152E-3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0.19791759120646774</v>
      </c>
      <c r="D43" s="157">
        <f t="shared" ref="D43:M43" si="34">IF(D6="","",(D10-MAX(D12,0))/D6)</f>
        <v>0.20736361963688957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0.583299310268654</v>
      </c>
      <c r="D46" s="157">
        <f t="shared" ref="D46:M46" si="37">IF(D6="","",MAX(D17,0)/D6)</f>
        <v>0.53098376999867358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1.3780163008283218E-3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0.20923165729470941</v>
      </c>
      <c r="D48" s="157">
        <f t="shared" si="38"/>
        <v>0.25205923757932075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2.78781575317285</v>
      </c>
      <c r="D55" s="157">
        <f t="shared" ref="D55:M55" si="43">IF(D21="","",IF(MAX(D17,0)&lt;=0,"-",D17/D21))</f>
        <v>2.1065832583563924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5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507009</v>
      </c>
      <c r="D74" s="218"/>
      <c r="E74" s="205">
        <f>H74</f>
        <v>507009</v>
      </c>
      <c r="F74" s="218"/>
      <c r="H74" s="205">
        <f>C74</f>
        <v>507009</v>
      </c>
      <c r="I74" s="218"/>
      <c r="K74" s="24"/>
    </row>
    <row r="75" spans="1:11" ht="15" customHeight="1" x14ac:dyDescent="0.4">
      <c r="B75" s="105" t="s">
        <v>109</v>
      </c>
      <c r="C75" s="77">
        <f>Data!C8</f>
        <v>4144</v>
      </c>
      <c r="D75" s="164">
        <f>C75/$C$74</f>
        <v>8.1734249293405042E-3</v>
      </c>
      <c r="E75" s="186">
        <f>E74*F75</f>
        <v>4144</v>
      </c>
      <c r="F75" s="165">
        <f>I75</f>
        <v>8.1734249293405042E-3</v>
      </c>
      <c r="H75" s="205">
        <f>D75*H74</f>
        <v>4144</v>
      </c>
      <c r="I75" s="165">
        <f>H75/$H$74</f>
        <v>8.1734249293405042E-3</v>
      </c>
      <c r="K75" s="24"/>
    </row>
    <row r="76" spans="1:11" ht="15" customHeight="1" x14ac:dyDescent="0.4">
      <c r="B76" s="35" t="s">
        <v>96</v>
      </c>
      <c r="C76" s="166">
        <f>C74-C75</f>
        <v>502865</v>
      </c>
      <c r="D76" s="219"/>
      <c r="E76" s="167">
        <f>E74-E75</f>
        <v>502865</v>
      </c>
      <c r="F76" s="219"/>
      <c r="H76" s="167">
        <f>H74-H75</f>
        <v>502865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100346</v>
      </c>
      <c r="D77" s="164">
        <f>C77/$C$74</f>
        <v>0.19791759120646774</v>
      </c>
      <c r="E77" s="186">
        <f>E74*F77</f>
        <v>100346</v>
      </c>
      <c r="F77" s="165">
        <f>I77</f>
        <v>0.19791759120646774</v>
      </c>
      <c r="H77" s="205">
        <f>D77*H74</f>
        <v>100346</v>
      </c>
      <c r="I77" s="165">
        <f>H77/$H$74</f>
        <v>0.19791759120646774</v>
      </c>
      <c r="K77" s="24"/>
    </row>
    <row r="78" spans="1:11" ht="15" customHeight="1" x14ac:dyDescent="0.4">
      <c r="B78" s="35" t="s">
        <v>97</v>
      </c>
      <c r="C78" s="166">
        <f>C76-C77</f>
        <v>402519</v>
      </c>
      <c r="D78" s="219"/>
      <c r="E78" s="167">
        <f>E76-E77</f>
        <v>402519</v>
      </c>
      <c r="F78" s="219"/>
      <c r="H78" s="167">
        <f>H76-H77</f>
        <v>402519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295738</v>
      </c>
      <c r="D79" s="164">
        <f>C79/$C$74</f>
        <v>0.583299310268654</v>
      </c>
      <c r="E79" s="186">
        <f>E74*F79</f>
        <v>295738</v>
      </c>
      <c r="F79" s="165">
        <f t="shared" ref="F79:F84" si="3">I79</f>
        <v>0.583299310268654</v>
      </c>
      <c r="H79" s="205">
        <f>C79</f>
        <v>295738</v>
      </c>
      <c r="I79" s="165">
        <f>H79/$H$74</f>
        <v>0.583299310268654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524</v>
      </c>
      <c r="D82" s="164">
        <f>C82/$C$74</f>
        <v>1.0335122256212414E-3</v>
      </c>
      <c r="E82" s="186">
        <f>E74*F82</f>
        <v>524</v>
      </c>
      <c r="F82" s="165">
        <f t="shared" si="3"/>
        <v>1.0335122256212414E-3</v>
      </c>
      <c r="H82" s="205">
        <f>H74*D82</f>
        <v>524</v>
      </c>
      <c r="I82" s="165">
        <f>H82/$H$74</f>
        <v>1.0335122256212414E-3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106257</v>
      </c>
      <c r="D83" s="169">
        <f>C83/$C$74</f>
        <v>0.2095761613699165</v>
      </c>
      <c r="E83" s="170">
        <f>E78-E79-E80-E81-E82</f>
        <v>106257</v>
      </c>
      <c r="F83" s="169">
        <f>E83/E74</f>
        <v>0.2095761613699165</v>
      </c>
      <c r="H83" s="170">
        <f>H78-H79-H80-H81-H82</f>
        <v>106257</v>
      </c>
      <c r="I83" s="169">
        <f>H83/$H$74</f>
        <v>0.2095761613699165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79692.75</v>
      </c>
      <c r="D85" s="171">
        <f>C85/$C$74</f>
        <v>0.15718212102743739</v>
      </c>
      <c r="E85" s="172">
        <f>E83*(1-F84)</f>
        <v>79692.75</v>
      </c>
      <c r="F85" s="171">
        <f>E85/E74</f>
        <v>0.15718212102743739</v>
      </c>
      <c r="H85" s="172">
        <f>H83*(1-I84)</f>
        <v>79692.75</v>
      </c>
      <c r="I85" s="171">
        <f>H85/$H$74</f>
        <v>0.15718212102743739</v>
      </c>
      <c r="K85" s="24"/>
    </row>
    <row r="86" spans="1:11" ht="15" customHeight="1" x14ac:dyDescent="0.4">
      <c r="B86" s="87" t="s">
        <v>172</v>
      </c>
      <c r="C86" s="173">
        <f>C85*Data!C4/Common_Shares</f>
        <v>1.0731190948718767</v>
      </c>
      <c r="D86" s="218"/>
      <c r="E86" s="174">
        <f>E85*Data!C4/Common_Shares</f>
        <v>1.0731190948718767</v>
      </c>
      <c r="F86" s="218"/>
      <c r="H86" s="174">
        <f>H85*Data!C4/Common_Shares</f>
        <v>1.0731190948718767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0.196059037978629</v>
      </c>
      <c r="D87" s="218"/>
      <c r="E87" s="239">
        <f>E86*Exchange_Rate/Dashboard!G3</f>
        <v>0.196059037978629</v>
      </c>
      <c r="F87" s="218"/>
      <c r="H87" s="239">
        <f>H86*Exchange_Rate/Dashboard!G3</f>
        <v>0.196059037978629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0.55699999999999994</v>
      </c>
      <c r="D88" s="171">
        <f>C88/C86</f>
        <v>0.51904770184571358</v>
      </c>
      <c r="E88" s="204">
        <f>H88</f>
        <v>0.375</v>
      </c>
      <c r="F88" s="171">
        <f>E88/E86</f>
        <v>0.34944863230187184</v>
      </c>
      <c r="H88" s="176">
        <f>Inputs!F6</f>
        <v>0.375</v>
      </c>
      <c r="I88" s="171">
        <f>H88/H86</f>
        <v>0.34944863230187184</v>
      </c>
      <c r="K88" s="24"/>
    </row>
    <row r="89" spans="1:11" ht="15" customHeight="1" x14ac:dyDescent="0.4">
      <c r="B89" s="87" t="s">
        <v>249</v>
      </c>
      <c r="C89" s="165">
        <f>C88*Exchange_Rate/Dashboard!G3</f>
        <v>0.10176399308888887</v>
      </c>
      <c r="D89" s="218"/>
      <c r="E89" s="165">
        <f>E88*Exchange_Rate/Dashboard!G3</f>
        <v>6.8512562672052663E-2</v>
      </c>
      <c r="F89" s="218"/>
      <c r="H89" s="165">
        <f>H88*Exchange_Rate/Dashboard!G3</f>
        <v>6.8512562672052663E-2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36.481989327490794</v>
      </c>
      <c r="H93" s="87" t="s">
        <v>229</v>
      </c>
      <c r="I93" s="146">
        <f>FV(H87,D93,0,-(H86/C93))</f>
        <v>36.481989327490794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7.2543237613647218</v>
      </c>
      <c r="H94" s="87" t="s">
        <v>230</v>
      </c>
      <c r="I94" s="146">
        <f>FV(H89,D93,0,-(H88/C93))</f>
        <v>7.2543237613647218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2055851.5663821001</v>
      </c>
      <c r="E97" s="124">
        <f>PV(C94,D93,0,-F93)*Exchange_Rate</f>
        <v>19.485232371402827</v>
      </c>
      <c r="F97" s="124">
        <f>PV(C93,D93,0,-F93)*Exchange_Rate</f>
        <v>27.683491561113016</v>
      </c>
      <c r="H97" s="124">
        <f>PV(C93,D93,0,-I93)*Exchange_Rate</f>
        <v>27.683491561113016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2055851.5663821001</v>
      </c>
      <c r="E100" s="110">
        <f>MAX(E97-H98+F99,0)</f>
        <v>19.485232371402827</v>
      </c>
      <c r="F100" s="110">
        <f>MAX(F97-H98+F99,0)</f>
        <v>27.683491561113016</v>
      </c>
      <c r="H100" s="110">
        <f>MAX(C100*Data!$C$4/Common_Shares,0)</f>
        <v>27.683491561113016</v>
      </c>
      <c r="I100" s="110">
        <f>H100*1.25</f>
        <v>34.60436445139127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408799.33202015201</v>
      </c>
      <c r="E103" s="110">
        <f>PV(C94,D93,0,-F94)*Exchange_Rate</f>
        <v>3.8745744624475686</v>
      </c>
      <c r="F103" s="124">
        <f>PV(C93,D93,0,-F94)*Exchange_Rate</f>
        <v>5.5047713770913083</v>
      </c>
      <c r="H103" s="124">
        <f>PV(C93,D93,0,-I94)*Exchange_Rate</f>
        <v>5.5047713770913083</v>
      </c>
      <c r="I103" s="110">
        <f>H103*1.25</f>
        <v>6.8809642213641355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1232325.4492011261</v>
      </c>
      <c r="E106" s="110">
        <f>(E100+E103)/2</f>
        <v>11.679903416925198</v>
      </c>
      <c r="F106" s="124">
        <f>(F100+F103)/2</f>
        <v>16.594131469102162</v>
      </c>
      <c r="H106" s="124">
        <f>(H100+H103)/2</f>
        <v>16.594131469102162</v>
      </c>
      <c r="I106" s="110">
        <f>H106*1.25</f>
        <v>20.742664336377704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