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3B56898-34AB-45E3-ADCE-0B2F3496161E}" xr6:coauthVersionLast="47" xr6:coauthVersionMax="47" xr10:uidLastSave="{00000000-0000-0000-0000-000000000000}"/>
  <bookViews>
    <workbookView xWindow="368" yWindow="368" windowWidth="12689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5" i="4"/>
  <c r="F6" i="4" l="1"/>
  <c r="I46" i="2"/>
  <c r="J46" i="2"/>
  <c r="K46" i="2"/>
  <c r="L46" i="2"/>
  <c r="M46" i="2"/>
  <c r="I21" i="2"/>
  <c r="I55" i="2" s="1"/>
  <c r="J21" i="2"/>
  <c r="J55" i="2" s="1"/>
  <c r="K21" i="2"/>
  <c r="K55" i="2" s="1"/>
  <c r="L21" i="2"/>
  <c r="L55" i="2" s="1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C46" i="2"/>
  <c r="F21" i="2"/>
  <c r="F55" i="2" s="1"/>
  <c r="F19" i="2"/>
  <c r="G19" i="2"/>
  <c r="H21" i="2"/>
  <c r="H55" i="2" s="1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D19" i="2" l="1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<sst xmlns="http://schemas.openxmlformats.org/spreadsheetml/2006/main" count="349" uniqueCount="250">
  <si>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</si>
  <si>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</si>
  <si>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</si>
  <si>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</si>
  <si>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</si>
  <si>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</si>
  <si>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</si>
  <si>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</si>
  <si>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</si>
  <si>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</si>
  <si>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</si>
  <si>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</si>
  <si>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</si>
  <si>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</si>
  <si>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</si>
  <si>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</si>
  <si>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</si>
  <si>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</si>
  <si>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</si>
  <si>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</si>
  <si>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</si>
  <si>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</si>
  <si>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</si>
  <si>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</si>
  <si>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</si>
  <si>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</si>
  <si>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</si>
  <si>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</si>
  <si>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</si>
  <si>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</si>
  <si>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</si>
  <si>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</si>
  <si>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</si>
  <si>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</si>
  <si>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</si>
  <si>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</si>
  <si>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</si>
  <si>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</si>
  <si>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</si>
  <si>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</si>
  <si>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</si>
  <si>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</si>
  <si>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</si>
  <si>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</si>
  <si>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</si>
  <si>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</si>
  <si>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</si>
  <si>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</si>
  <si>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</si>
  <si>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</si>
  <si>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</si>
  <si>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</si>
  <si>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</si>
  <si>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</si>
  <si>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</si>
  <si>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</si>
  <si>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</si>
  <si>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</si>
  <si>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</si>
  <si>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</si>
  <si>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</si>
  <si>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</si>
  <si>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</si>
  <si>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</si>
  <si>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</si>
  <si>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</si>
  <si>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</si>
  <si>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</si>
  <si>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</si>
  <si>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</si>
  <si>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</si>
  <si>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</si>
  <si>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</si>
  <si>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</si>
  <si>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</si>
  <si>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</si>
  <si>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</si>
  <si>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</si>
  <si>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</si>
  <si>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</si>
  <si>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</si>
  <si>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</si>
  <si>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</si>
  <si>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</si>
  <si>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</si>
  <si>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</si>
  <si>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</si>
  <si>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</si>
  <si>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</si>
  <si>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</si>
  <si>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</si>
  <si>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</si>
  <si>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</si>
  <si>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</si>
  <si>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</si>
  <si>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</si>
  <si>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</si>
  <si>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</si>
  <si>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</si>
  <si>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</si>
  <si>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</si>
  <si>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</si>
  <si>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</si>
  <si>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</si>
  <si>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</si>
  <si>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</si>
  <si>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</si>
  <si>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</si>
  <si>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</si>
  <si>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</si>
  <si>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</si>
  <si>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</si>
  <si>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</si>
  <si>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</si>
  <si>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</si>
  <si>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</si>
  <si>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</si>
  <si>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</si>
  <si>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</si>
  <si>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</si>
  <si>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</si>
  <si>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</si>
  <si>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</si>
  <si>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</si>
  <si>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</si>
  <si>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</si>
  <si>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</si>
  <si>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</si>
  <si>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</si>
  <si>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</si>
  <si>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</si>
  <si>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</si>
  <si>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</si>
  <si>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</si>
  <si>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</si>
  <si>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</si>
  <si>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</si>
  <si>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</si>
  <si>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</si>
  <si>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</si>
  <si>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</si>
  <si>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</si>
  <si>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</si>
  <si>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</si>
  <si>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</si>
  <si>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</si>
  <si>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</si>
  <si>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</si>
  <si>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</si>
  <si>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</si>
  <si>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</si>
  <si>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</si>
  <si>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</si>
  <si>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</si>
  <si>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</si>
  <si>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</si>
  <si>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</si>
  <si>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</si>
  <si>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</si>
  <si>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</si>
  <si>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</si>
  <si>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</si>
  <si>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</si>
  <si>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</si>
  <si>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</si>
  <si>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</si>
  <si>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</si>
  <si>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</si>
  <si>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</si>
  <si>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</si>
  <si>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</si>
  <si>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</si>
  <si>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</si>
  <si>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</si>
  <si>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</si>
  <si>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</si>
  <si>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</si>
  <si>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</si>
  <si>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</si>
  <si>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</si>
  <si>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</si>
  <si>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</si>
  <si>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</si>
  <si>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</si>
  <si>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</si>
  <si>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</si>
  <si>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</si>
  <si>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</si>
  <si>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</si>
  <si>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</si>
  <si>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</si>
  <si>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</si>
  <si>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</si>
  <si>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</si>
  <si>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</si>
  <si>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</si>
  <si>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</si>
  <si>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</si>
  <si>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</si>
  <si>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</si>
  <si>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</si>
  <si>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</si>
  <si>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</si>
  <si>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</si>
  <si>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</si>
  <si>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</si>
  <si>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</si>
  <si>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</si>
  <si>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</si>
  <si>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</si>
  <si>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</si>
  <si>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</si>
  <si>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</si>
  <si>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</si>
  <si>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</si>
  <si>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</si>
  <si>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</si>
  <si>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</si>
  <si>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</si>
  <si>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</si>
  <si>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</si>
  <si>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</si>
  <si>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</si>
  <si>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</si>
  <si>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</si>
  <si>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</si>
  <si>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</si>
  <si>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</si>
  <si>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</si>
  <si>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</si>
  <si>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</si>
  <si>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</si>
  <si>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</si>
  <si>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</si>
  <si>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</si>
  <si>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</si>
  <si>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</si>
  <si>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</si>
  <si>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</si>
  <si>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</si>
  <si>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</si>
  <si>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</si>
  <si>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</si>
  <si>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6186.HK</t>
    <phoneticPr fontId="20" type="noConversion"/>
  </si>
  <si>
    <t>中国飞鹤</t>
    <phoneticPr fontId="20" type="noConversion"/>
  </si>
  <si>
    <t>C0002</t>
    <phoneticPr fontId="20" type="noConversion"/>
  </si>
  <si>
    <t>CNY</t>
  </si>
  <si>
    <t>CN</t>
  </si>
  <si>
    <t>Profit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</si>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</sst>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7" zoomScaleNormal="100" workbookViewId="0">
      <selection activeCell="C30" sqref="C3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6186.HK</v>
      </c>
      <c r="D3" s="246"/>
      <c r="E3" s="87"/>
      <c r="F3" s="3" t="s">
        <v>1</v>
      </c>
      <c r="G3" s="133">
        <v>5.5199999809265137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中国飞鹤</v>
      </c>
      <c r="D4" s="248"/>
      <c r="E4" s="87"/>
      <c r="F4" s="3" t="s">
        <v>3</v>
      </c>
      <c r="G4" s="251">
        <f>Inputs!C10</f>
        <v>9067251704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45605</v>
      </c>
      <c r="D5" s="250"/>
      <c r="E5" s="34"/>
      <c r="F5" s="35" t="s">
        <v>102</v>
      </c>
      <c r="G5" s="243">
        <f>G3*G4/1000000</f>
        <v>50051.229233135891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C0002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0.35166796085418528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0.40660753935436778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2.7202256703967287E-3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3.2256320498000146E-2</v>
      </c>
      <c r="F23" s="141" t="s">
        <v>204</v>
      </c>
      <c r="G23" s="183">
        <f>G3/(Data!C36*Data!C4/Common_Shares*Exchange_Rate)</f>
        <v>1.722789621647318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6.5006269421473528E-2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0.93286630876064991</v>
      </c>
    </row>
    <row r="26" spans="1:8" ht="15.75" customHeight="1" x14ac:dyDescent="0.4">
      <c r="B26" s="139" t="s">
        <v>187</v>
      </c>
      <c r="C26" s="177">
        <f>Fin_Analysis!I83</f>
        <v>0.2067479536230501</v>
      </c>
      <c r="F26" s="142" t="s">
        <v>210</v>
      </c>
      <c r="G26" s="184">
        <f>Fin_Analysis!H88*Exchange_Rate/G3</f>
        <v>6.0642158601510322E-2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4.2551428660059507</v>
      </c>
      <c r="D29" s="130">
        <f>IF(Fin_Analysis!C108="Profit",Fin_Analysis!I100,IF(Fin_Analysis!C108="Dividend",Fin_Analysis!I103,Fin_Analysis!I106))</f>
        <v>7.358400903192873</v>
      </c>
      <c r="E29" s="87"/>
      <c r="F29" s="132">
        <f>IF(Fin_Analysis!C108="Profit",Fin_Analysis!F100,IF(Fin_Analysis!C108="Dividend",Fin_Analysis!F103,Fin_Analysis!F106))</f>
        <v>5.6835417377554718</v>
      </c>
      <c r="G29" s="242">
        <f>IF(Fin_Analysis!C108="Profit",Fin_Analysis!H100,IF(Fin_Analysis!C108="Dividend",Fin_Analysis!H103,Fin_Analysis!H106))</f>
        <v>5.8867207225542986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E10" sqref="E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F4" s="201" t="s">
        <v>227</v>
      </c>
    </row>
    <row r="5" spans="1:6" ht="13.9" x14ac:dyDescent="0.4">
      <c r="B5" s="142" t="s">
        <v>212</v>
      </c>
      <c r="C5" s="240" t="s">
        <v>244</v>
      </c>
      <c r="E5" s="231">
        <f>C18</f>
        <v>45291</v>
      </c>
      <c r="F5" s="232">
        <f>0.1484+0.1632</f>
        <v>0.31159999999999999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f>F5</f>
        <v>0.31159999999999999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9067251704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247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19532203</v>
      </c>
      <c r="D19" s="152">
        <v>21310933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6868850</v>
      </c>
      <c r="D20" s="153">
        <v>7360333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8571978</v>
      </c>
      <c r="D21" s="153">
        <v>8215637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630037</v>
      </c>
      <c r="D22" s="153">
        <v>543737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630037</v>
      </c>
      <c r="D24" s="153">
        <v>543737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-337926</v>
      </c>
      <c r="D25" s="153">
        <v>827860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53132</v>
      </c>
      <c r="D26" s="153">
        <v>33640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-99657</v>
      </c>
      <c r="D27" s="153">
        <v>6058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22554271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431184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2258059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7382230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2478102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592316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1044096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26334346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1389487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19968596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>
        <v>19073030</v>
      </c>
      <c r="D40" s="60">
        <v>0.9</v>
      </c>
    </row>
    <row r="41" spans="2:13" ht="13.9" x14ac:dyDescent="0.4">
      <c r="B41" s="1" t="s">
        <v>146</v>
      </c>
      <c r="C41" s="59">
        <v>20972</v>
      </c>
      <c r="D41" s="60">
        <v>0.8</v>
      </c>
    </row>
    <row r="42" spans="2:13" ht="13.9" x14ac:dyDescent="0.4">
      <c r="B42" s="3" t="s">
        <v>121</v>
      </c>
      <c r="C42" s="59">
        <v>308472</v>
      </c>
      <c r="D42" s="60">
        <f>D43</f>
        <v>0.6</v>
      </c>
    </row>
    <row r="43" spans="2:13" ht="13.9" x14ac:dyDescent="0.4">
      <c r="B43" s="3" t="s">
        <v>42</v>
      </c>
      <c r="C43" s="59"/>
      <c r="D43" s="60">
        <v>0.6</v>
      </c>
    </row>
    <row r="44" spans="2:13" ht="13.9" x14ac:dyDescent="0.4">
      <c r="B44" s="3" t="s">
        <v>44</v>
      </c>
      <c r="C44" s="59"/>
      <c r="D44" s="60">
        <v>0.5</v>
      </c>
    </row>
    <row r="45" spans="2:13" ht="13.9" x14ac:dyDescent="0.4">
      <c r="B45" s="1" t="s">
        <v>170</v>
      </c>
      <c r="C45" s="59"/>
      <c r="D45" s="60">
        <f>D42</f>
        <v>0.6</v>
      </c>
    </row>
    <row r="46" spans="2:13" ht="13.9" x14ac:dyDescent="0.4">
      <c r="B46" s="3" t="s">
        <v>122</v>
      </c>
      <c r="C46" s="59">
        <v>854264</v>
      </c>
      <c r="D46" s="60">
        <v>0.1</v>
      </c>
    </row>
    <row r="47" spans="2:13" ht="13.9" x14ac:dyDescent="0.4">
      <c r="B47" s="3" t="s">
        <v>47</v>
      </c>
      <c r="C47" s="59">
        <v>2139247</v>
      </c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>
        <v>300000</v>
      </c>
      <c r="D52" s="60">
        <f>D41</f>
        <v>0.8</v>
      </c>
    </row>
    <row r="53" spans="2:4" ht="13.9" x14ac:dyDescent="0.4">
      <c r="B53" s="3" t="s">
        <v>63</v>
      </c>
      <c r="C53" s="59">
        <v>1800</v>
      </c>
      <c r="D53" s="60">
        <f>D43</f>
        <v>0.6</v>
      </c>
    </row>
    <row r="54" spans="2:4" ht="13.9" x14ac:dyDescent="0.4">
      <c r="B54" s="3" t="s">
        <v>65</v>
      </c>
      <c r="C54" s="59"/>
      <c r="D54" s="60">
        <f>D44</f>
        <v>0.5</v>
      </c>
    </row>
    <row r="55" spans="2:4" ht="13.9" x14ac:dyDescent="0.4">
      <c r="B55" s="1" t="s">
        <v>171</v>
      </c>
      <c r="C55" s="59"/>
      <c r="D55" s="60">
        <f>D54</f>
        <v>0.5</v>
      </c>
    </row>
    <row r="56" spans="2:4" ht="13.9" x14ac:dyDescent="0.4">
      <c r="B56" s="3" t="s">
        <v>68</v>
      </c>
      <c r="C56" s="59"/>
      <c r="D56" s="60">
        <v>0.4</v>
      </c>
    </row>
    <row r="57" spans="2:4" ht="13.9" x14ac:dyDescent="0.4">
      <c r="B57" s="3" t="s">
        <v>70</v>
      </c>
      <c r="C57" s="59">
        <v>113569</v>
      </c>
      <c r="D57" s="60">
        <v>0.1</v>
      </c>
    </row>
    <row r="58" spans="2:4" ht="13.9" x14ac:dyDescent="0.4">
      <c r="B58" s="3" t="s">
        <v>72</v>
      </c>
      <c r="C58" s="59">
        <v>45190</v>
      </c>
      <c r="D58" s="60">
        <v>0.2</v>
      </c>
    </row>
    <row r="59" spans="2:4" ht="13.9" x14ac:dyDescent="0.4">
      <c r="B59" s="1" t="s">
        <v>49</v>
      </c>
      <c r="C59" s="59"/>
      <c r="D59" s="60">
        <f>D57</f>
        <v>0.1</v>
      </c>
    </row>
    <row r="60" spans="2:4" ht="13.9" x14ac:dyDescent="0.4">
      <c r="B60" s="3" t="s">
        <v>123</v>
      </c>
      <c r="C60" s="59">
        <v>9938000</v>
      </c>
      <c r="D60" s="60">
        <f>D57</f>
        <v>0.1</v>
      </c>
    </row>
    <row r="61" spans="2:4" ht="13.9" x14ac:dyDescent="0.4">
      <c r="B61" s="3" t="s">
        <v>73</v>
      </c>
      <c r="C61" s="59">
        <v>2304520</v>
      </c>
      <c r="D61" s="60">
        <f>D62</f>
        <v>0.05</v>
      </c>
    </row>
    <row r="62" spans="2:4" ht="13.9" x14ac:dyDescent="0.4">
      <c r="B62" s="3" t="s">
        <v>74</v>
      </c>
      <c r="C62" s="59">
        <v>15244</v>
      </c>
      <c r="D62" s="60">
        <v>0.05</v>
      </c>
    </row>
    <row r="63" spans="2:4" ht="13.9" x14ac:dyDescent="0.4">
      <c r="B63" s="3" t="s">
        <v>75</v>
      </c>
      <c r="C63" s="59">
        <v>382475</v>
      </c>
      <c r="D63" s="60">
        <f>D50</f>
        <v>0.9</v>
      </c>
    </row>
    <row r="64" spans="2:4" ht="13.9" x14ac:dyDescent="0.4">
      <c r="B64" s="3" t="s">
        <v>76</v>
      </c>
      <c r="C64" s="59">
        <v>112402</v>
      </c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510909</v>
      </c>
    </row>
    <row r="67" spans="2:3" ht="13.9" x14ac:dyDescent="0.4">
      <c r="B67" s="3" t="s">
        <v>40</v>
      </c>
      <c r="C67" s="59">
        <v>28807</v>
      </c>
    </row>
    <row r="68" spans="2:3" ht="13.9" x14ac:dyDescent="0.4">
      <c r="B68" s="3" t="s">
        <v>41</v>
      </c>
      <c r="C68" s="59">
        <v>0</v>
      </c>
    </row>
    <row r="69" spans="2:3" ht="13.9" x14ac:dyDescent="0.4">
      <c r="B69" s="86" t="s">
        <v>43</v>
      </c>
      <c r="C69" s="121">
        <v>9668</v>
      </c>
    </row>
    <row r="70" spans="2:3" ht="14.25" thickBot="1" x14ac:dyDescent="0.45">
      <c r="B70" s="80" t="s">
        <v>16</v>
      </c>
      <c r="C70" s="83">
        <v>6712617</v>
      </c>
    </row>
    <row r="71" spans="2:3" ht="14.25" thickTop="1" x14ac:dyDescent="0.4">
      <c r="B71" s="3" t="s">
        <v>62</v>
      </c>
      <c r="C71" s="59">
        <v>756896</v>
      </c>
    </row>
    <row r="72" spans="2:3" ht="13.9" x14ac:dyDescent="0.4">
      <c r="B72" s="3" t="s">
        <v>64</v>
      </c>
      <c r="C72" s="59">
        <v>52067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1852861</v>
      </c>
    </row>
    <row r="76" spans="2:3" ht="14.25" thickTop="1" x14ac:dyDescent="0.4">
      <c r="B76" s="73" t="s">
        <v>242</v>
      </c>
      <c r="C76" s="59">
        <v>25617273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4038243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19532203</v>
      </c>
      <c r="D6" s="209">
        <f>IF(Inputs!D19="","",Inputs!D19)</f>
        <v>21310933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6868850</v>
      </c>
      <c r="D8" s="208">
        <f>IF(Inputs!D20="","",Inputs!D20)</f>
        <v>7360333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12663353</v>
      </c>
      <c r="D9" s="154">
        <f t="shared" si="2"/>
        <v>13950600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8571978</v>
      </c>
      <c r="D10" s="208">
        <f>IF(Inputs!D21="","",Inputs!D21)</f>
        <v>8215637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3.2256320498000146E-2</v>
      </c>
      <c r="D11" s="155">
        <f t="shared" ref="D11:M11" si="3">IF(OR(D6="",D12=""),"",D12/D6)</f>
        <v>2.5514462459245685E-2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630037</v>
      </c>
      <c r="D12" s="208">
        <f>IF(Inputs!D22="","",Inputs!D22)</f>
        <v>543737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4721412</v>
      </c>
      <c r="D13" s="154">
        <f t="shared" ref="D13:M13" si="4">IF(D6="","",(D9-D10+MAX(D12,0)))</f>
        <v>6278700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630037</v>
      </c>
      <c r="D15" s="208">
        <f>IF(Inputs!D24="","",Inputs!D24)</f>
        <v>543737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-337926</v>
      </c>
      <c r="D16" s="208">
        <f>IF(Inputs!D25="","",Inputs!D25)</f>
        <v>827860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53132</v>
      </c>
      <c r="D17" s="208">
        <f>IF(Inputs!D26="","",Inputs!D26)</f>
        <v>33640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-99657</v>
      </c>
      <c r="D18" s="208">
        <f>IF(Inputs!D27="","",Inputs!D27)</f>
        <v>6058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4038243</v>
      </c>
      <c r="D19" s="237">
        <f>IF(D6="","",D9-D10-MAX(D17,0)-MAX(D18,0)/(1-Fin_Analysis!$I$84))</f>
        <v>5693245.666666667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-0.29069581106547487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4038243</v>
      </c>
      <c r="D21" s="77">
        <f>IF(D6="","",D13-MAX(D14,0)-MAX(D15,0)-MAX(D16,0)-MAX(D17,0)-MAX(D18,0)/(1-Fin_Analysis!$I$84))</f>
        <v>4865385.666666667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-0.17000557064438268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0.15506096521728757</v>
      </c>
      <c r="D23" s="157">
        <f t="shared" si="7"/>
        <v>0.17122850745202006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3028682.25</v>
      </c>
      <c r="D24" s="77">
        <f>IF(D6="","",D21*(1-Fin_Analysis!$I$84))</f>
        <v>3649039.25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-0.17000557064438263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35609185</v>
      </c>
      <c r="D27" s="65">
        <f t="shared" ref="D27:M27" si="18">IF(D36="","",D36+D31+D32)</f>
        <v>36194678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22395985</v>
      </c>
      <c r="D28" s="208">
        <f>IF(Inputs!D28="","",Inputs!D28)</f>
        <v>22554271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308472</v>
      </c>
      <c r="D29" s="208">
        <f>IF(Inputs!D29="","",Inputs!D29)</f>
        <v>431184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2139247</v>
      </c>
      <c r="D30" s="208">
        <f>IF(Inputs!D30="","",Inputs!D30)</f>
        <v>2258059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6712617</v>
      </c>
      <c r="D31" s="208">
        <f>IF(Inputs!D31="","",Inputs!D31)</f>
        <v>7382230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1852861</v>
      </c>
      <c r="D32" s="208">
        <f>IF(Inputs!D32="","",Inputs!D32)</f>
        <v>2478102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549384</v>
      </c>
      <c r="D33" s="208">
        <f>IF(Inputs!D33="","",Inputs!D33)</f>
        <v>592316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808963</v>
      </c>
      <c r="D34" s="208">
        <f>IF(Inputs!D34="","",Inputs!D34)</f>
        <v>1044096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1358347</v>
      </c>
      <c r="D35" s="77">
        <f t="shared" ref="D35" si="20">IF(OR(D33="",D34=""),"",D33+D34)</f>
        <v>1636412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27043707</v>
      </c>
      <c r="D36" s="208">
        <f>IF(Inputs!D35="","",Inputs!D35)</f>
        <v>26334346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1426434</v>
      </c>
      <c r="D37" s="208">
        <f>IF(Inputs!D36="","",Inputs!D36)</f>
        <v>1389487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19533589</v>
      </c>
      <c r="D38" s="208">
        <f>IF(Inputs!D37="","",Inputs!D37)</f>
        <v>19968596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16075596</v>
      </c>
      <c r="D39" s="65">
        <f>IF(D38="","",D27-D38)</f>
        <v>16226082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0.25120331463915863</v>
      </c>
      <c r="D40" s="160">
        <f>IF(D39="","",D21/D39)</f>
        <v>0.29984969055787264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0.35166796085418528</v>
      </c>
      <c r="D42" s="161">
        <f t="shared" si="33"/>
        <v>0.34537826194657922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0.40660753935436778</v>
      </c>
      <c r="D43" s="157">
        <f t="shared" ref="D43:M43" si="34">IF(D6="","",(D10-MAX(D12,0))/D6)</f>
        <v>0.35999831635714868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3.2256320498000146E-2</v>
      </c>
      <c r="D44" s="157">
        <f t="shared" ref="D44:M44" si="35">IF(D6="","",(MAX(D14,0)+MAX(D15,0))/D6)</f>
        <v>2.5514462459245685E-2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3.8846727170509146E-2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2.7202256703967287E-3</v>
      </c>
      <c r="D46" s="157">
        <f t="shared" ref="D46:M46" si="37">IF(D6="","",MAX(D17,0)/D6)</f>
        <v>1.5785324837725313E-3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3.7902298005128792E-4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0.2067479536230501</v>
      </c>
      <c r="D48" s="157">
        <f t="shared" si="38"/>
        <v>0.22830467660269341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1.5792995802879992E-2</v>
      </c>
      <c r="D50" s="161">
        <f t="shared" ref="D50:M50" si="39">IF(D29="","",D29/D6)</f>
        <v>2.0232994960849439E-2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0.1095241023247608</v>
      </c>
      <c r="D51" s="157">
        <f t="shared" ref="D51:M51" si="40">IF(D30="","",D30/D6)</f>
        <v>0.10595777294217949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0.24054125361195433</v>
      </c>
      <c r="D53" s="161">
        <f t="shared" ref="D53:M53" si="41">IF(D36="","",(D27-D36)/D27)</f>
        <v>0.27242491285597292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2.9729097204175368</v>
      </c>
      <c r="D54" s="162">
        <f t="shared" ref="D54:M54" si="42">IF(OR(D21="",D35=""),"",IF(D35&lt;=0,"-",D21/D35))</f>
        <v>2.9732033660634771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1.3157207230966536E-2</v>
      </c>
      <c r="D55" s="157">
        <f t="shared" ref="D55:M55" si="43">IF(D21="","",IF(MAX(D17,0)&lt;=0,"-",D17/D21))</f>
        <v>6.9141487036622033E-3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3.3364014362803656</v>
      </c>
      <c r="D56" s="163">
        <f t="shared" si="44"/>
        <v>3.055211094750502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8" zoomScale="89" zoomScaleNormal="100" workbookViewId="0">
      <selection activeCell="E103" sqref="E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27043707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25617273</v>
      </c>
      <c r="K3" s="24"/>
    </row>
    <row r="4" spans="1:11" ht="15" customHeight="1" x14ac:dyDescent="0.4">
      <c r="B4" s="3" t="s">
        <v>25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3.3364014362803656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9641855.9139316063</v>
      </c>
      <c r="E6" s="56">
        <f>1-D6/D3</f>
        <v>0.64347136603973687</v>
      </c>
      <c r="F6" s="87"/>
      <c r="G6" s="87"/>
      <c r="H6" s="1" t="s">
        <v>30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1.1423554146899175</v>
      </c>
      <c r="E7" s="11" t="str">
        <f>Dashboard!H3</f>
        <v>HKD</v>
      </c>
      <c r="H7" s="1" t="s">
        <v>31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19073030</v>
      </c>
      <c r="D11" s="207">
        <f>Inputs!D40</f>
        <v>0.9</v>
      </c>
      <c r="E11" s="88">
        <f t="shared" ref="E11:E21" si="0">C11*D11</f>
        <v>17165727</v>
      </c>
      <c r="F11" s="113"/>
      <c r="G11" s="87"/>
      <c r="H11" s="3" t="s">
        <v>39</v>
      </c>
      <c r="I11" s="40">
        <f>Inputs!C66</f>
        <v>510909</v>
      </c>
      <c r="J11" s="87"/>
      <c r="K11" s="24"/>
    </row>
    <row r="12" spans="1:11" ht="13.9" x14ac:dyDescent="0.4">
      <c r="B12" s="1" t="s">
        <v>146</v>
      </c>
      <c r="C12" s="40">
        <f>Inputs!C41</f>
        <v>20972</v>
      </c>
      <c r="D12" s="207">
        <f>Inputs!D41</f>
        <v>0.8</v>
      </c>
      <c r="E12" s="88">
        <f t="shared" si="0"/>
        <v>16777.600000000002</v>
      </c>
      <c r="F12" s="113"/>
      <c r="G12" s="87"/>
      <c r="H12" s="3" t="s">
        <v>40</v>
      </c>
      <c r="I12" s="40">
        <f>Inputs!C67</f>
        <v>28807</v>
      </c>
      <c r="J12" s="87"/>
      <c r="K12" s="24"/>
    </row>
    <row r="13" spans="1:11" ht="13.9" x14ac:dyDescent="0.4">
      <c r="B13" s="3" t="s">
        <v>121</v>
      </c>
      <c r="C13" s="40">
        <f>Inputs!C42</f>
        <v>308472</v>
      </c>
      <c r="D13" s="207">
        <f>Inputs!D42</f>
        <v>0.6</v>
      </c>
      <c r="E13" s="88">
        <f t="shared" si="0"/>
        <v>185083.19999999998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9668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549384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854264</v>
      </c>
      <c r="D17" s="207">
        <f>Inputs!D46</f>
        <v>0.1</v>
      </c>
      <c r="E17" s="88">
        <f t="shared" si="0"/>
        <v>85426.400000000009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2139247</v>
      </c>
      <c r="D18" s="207">
        <f>Inputs!D47</f>
        <v>0.5</v>
      </c>
      <c r="E18" s="88">
        <f t="shared" si="0"/>
        <v>1069623.5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4">
        <f>E24/$E$28</f>
        <v>0.93764117623485133</v>
      </c>
      <c r="G24" s="87"/>
    </row>
    <row r="25" spans="2:10" ht="15" customHeight="1" x14ac:dyDescent="0.4">
      <c r="B25" s="23" t="s">
        <v>55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4">
        <f t="shared" ref="F25:F27" si="2">E25/$E$28</f>
        <v>4.6119997261513147E-3</v>
      </c>
      <c r="G25" s="87"/>
      <c r="H25" s="23" t="s">
        <v>56</v>
      </c>
      <c r="I25" s="63">
        <f>E28/I28</f>
        <v>2.7593765144056333</v>
      </c>
    </row>
    <row r="26" spans="2:10" ht="15" customHeight="1" x14ac:dyDescent="0.4">
      <c r="B26" s="23" t="s">
        <v>57</v>
      </c>
      <c r="C26" s="61">
        <f>C18+C19+C20</f>
        <v>2139247</v>
      </c>
      <c r="D26" s="62">
        <f t="shared" ref="D26:D27" si="3">IF(E26=0,0,E26/C26)</f>
        <v>0.5</v>
      </c>
      <c r="E26" s="88">
        <f>E18+E19+E20</f>
        <v>1069623.5</v>
      </c>
      <c r="F26" s="114">
        <f t="shared" si="2"/>
        <v>5.7746824038997425E-2</v>
      </c>
      <c r="G26" s="87"/>
      <c r="H26" s="23" t="s">
        <v>58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>
        <f t="shared" si="2"/>
        <v>0</v>
      </c>
      <c r="G27" s="87"/>
      <c r="H27" s="23" t="s">
        <v>60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22395985</v>
      </c>
      <c r="D28" s="57">
        <f t="shared" ref="D28" si="4">E28/C28</f>
        <v>0.82705171038469616</v>
      </c>
      <c r="E28" s="70">
        <f>SUM(E24:E27)</f>
        <v>18522637.699999999</v>
      </c>
      <c r="F28" s="113"/>
      <c r="G28" s="87"/>
      <c r="H28" s="78" t="s">
        <v>16</v>
      </c>
      <c r="I28" s="215">
        <f>Inputs!C70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300000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756896</v>
      </c>
      <c r="J30" s="87"/>
    </row>
    <row r="31" spans="2:10" ht="15" customHeight="1" x14ac:dyDescent="0.4">
      <c r="B31" s="3" t="s">
        <v>63</v>
      </c>
      <c r="C31" s="40">
        <f>Inputs!C53</f>
        <v>1800</v>
      </c>
      <c r="D31" s="207">
        <f>Inputs!D53</f>
        <v>0.6</v>
      </c>
      <c r="E31" s="88">
        <f t="shared" ref="E31:E42" si="5">C31*D31</f>
        <v>1080</v>
      </c>
      <c r="F31" s="113"/>
      <c r="G31" s="87"/>
      <c r="H31" s="3" t="s">
        <v>64</v>
      </c>
      <c r="I31" s="40">
        <f>Inputs!C72</f>
        <v>52067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808963</v>
      </c>
      <c r="J34" s="87"/>
    </row>
    <row r="35" spans="2:10" ht="13.9" x14ac:dyDescent="0.4">
      <c r="B35" s="3" t="s">
        <v>70</v>
      </c>
      <c r="C35" s="40">
        <f>Inputs!C57</f>
        <v>113569</v>
      </c>
      <c r="D35" s="207">
        <f>Inputs!D57</f>
        <v>0.1</v>
      </c>
      <c r="E35" s="88">
        <f t="shared" si="5"/>
        <v>11356.900000000001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45190</v>
      </c>
      <c r="D36" s="207">
        <f>Inputs!D58</f>
        <v>0.2</v>
      </c>
      <c r="E36" s="88">
        <f t="shared" si="5"/>
        <v>9038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9938000</v>
      </c>
      <c r="D38" s="207">
        <f>Inputs!D60</f>
        <v>0.1</v>
      </c>
      <c r="E38" s="88">
        <f>C38*D38</f>
        <v>993800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2304520</v>
      </c>
      <c r="D39" s="207">
        <f>Inputs!D61</f>
        <v>0.05</v>
      </c>
      <c r="E39" s="88">
        <f t="shared" si="5"/>
        <v>115226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15244</v>
      </c>
      <c r="D40" s="207">
        <f>Inputs!D62</f>
        <v>0.05</v>
      </c>
      <c r="E40" s="88">
        <f t="shared" si="5"/>
        <v>762.2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382475</v>
      </c>
      <c r="D41" s="207">
        <f>Inputs!D63</f>
        <v>0.9</v>
      </c>
      <c r="E41" s="88">
        <f t="shared" si="5"/>
        <v>344227.5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112402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12287710</v>
      </c>
      <c r="D46" s="62">
        <f t="shared" ref="D46:D47" si="6">IF(E46=0,0,E46/C46)</f>
        <v>9.0990428647811511E-2</v>
      </c>
      <c r="E46" s="88">
        <f>E36+E37+E38+E39</f>
        <v>1118064</v>
      </c>
      <c r="F46" s="87"/>
      <c r="G46" s="87"/>
      <c r="H46" s="23" t="s">
        <v>81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510121</v>
      </c>
      <c r="D47" s="62">
        <f t="shared" si="6"/>
        <v>0.67628993905367552</v>
      </c>
      <c r="E47" s="88">
        <f>E40+E41+E42</f>
        <v>344989.7</v>
      </c>
      <c r="F47" s="87"/>
      <c r="G47" s="87"/>
      <c r="H47" s="23" t="s">
        <v>83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85</v>
      </c>
      <c r="I48" s="216">
        <f>Inputs!C75</f>
        <v>1852861</v>
      </c>
      <c r="J48" s="8"/>
    </row>
    <row r="49" spans="2:11" ht="15" customHeight="1" thickTop="1" x14ac:dyDescent="0.4">
      <c r="B49" s="3" t="s">
        <v>14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86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1426434</v>
      </c>
      <c r="D53" s="29">
        <f>IF(E53=0, 0,E53/C53)</f>
        <v>1.722789621647318</v>
      </c>
      <c r="E53" s="88">
        <f>IF(C53=0,0,MAX(C53,C53*Dashboard!G23))</f>
        <v>2457445.6911648703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1358347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160559</v>
      </c>
      <c r="D61" s="56">
        <f t="shared" ref="D61:D70" si="7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19373030</v>
      </c>
      <c r="D62" s="108">
        <f t="shared" si="7"/>
        <v>0.88606309906091096</v>
      </c>
      <c r="E62" s="119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19533589</v>
      </c>
      <c r="D63" s="29">
        <f t="shared" si="7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18175242</v>
      </c>
      <c r="D65" s="29">
        <f t="shared" si="7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16075596</v>
      </c>
      <c r="D68" s="29">
        <f t="shared" si="7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8868465</v>
      </c>
      <c r="D70" s="29">
        <f t="shared" si="7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19532203</v>
      </c>
      <c r="D74" s="218"/>
      <c r="E74" s="205">
        <f>H74</f>
        <v>19532203</v>
      </c>
      <c r="F74" s="218"/>
      <c r="H74" s="205">
        <f>C74</f>
        <v>19532203</v>
      </c>
      <c r="I74" s="218"/>
      <c r="K74" s="24"/>
    </row>
    <row r="75" spans="1:11" ht="15" customHeight="1" x14ac:dyDescent="0.4">
      <c r="B75" s="105" t="s">
        <v>109</v>
      </c>
      <c r="C75" s="77">
        <f>Data!C8</f>
        <v>6868850</v>
      </c>
      <c r="D75" s="164">
        <f>C75/$C$74</f>
        <v>0.35166796085418528</v>
      </c>
      <c r="E75" s="186">
        <f>E74*F75</f>
        <v>6868850</v>
      </c>
      <c r="F75" s="165">
        <f>I75</f>
        <v>0.35166796085418528</v>
      </c>
      <c r="H75" s="205">
        <f>D75*H74</f>
        <v>6868850</v>
      </c>
      <c r="I75" s="165">
        <f>H75/$H$74</f>
        <v>0.35166796085418528</v>
      </c>
      <c r="K75" s="24"/>
    </row>
    <row r="76" spans="1:11" ht="15" customHeight="1" x14ac:dyDescent="0.4">
      <c r="B76" s="35" t="s">
        <v>96</v>
      </c>
      <c r="C76" s="166">
        <f>C74-C75</f>
        <v>12663353</v>
      </c>
      <c r="D76" s="219"/>
      <c r="E76" s="167">
        <f>E74-E75</f>
        <v>12663353</v>
      </c>
      <c r="F76" s="219"/>
      <c r="H76" s="167">
        <f>H74-H75</f>
        <v>12663353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7941941</v>
      </c>
      <c r="D77" s="164">
        <f>C77/$C$74</f>
        <v>0.40660753935436778</v>
      </c>
      <c r="E77" s="186">
        <f>E74*F77</f>
        <v>7941941</v>
      </c>
      <c r="F77" s="165">
        <f>I77</f>
        <v>0.40660753935436778</v>
      </c>
      <c r="H77" s="205">
        <f>D77*H74</f>
        <v>7941941</v>
      </c>
      <c r="I77" s="165">
        <f>H77/$H$74</f>
        <v>0.40660753935436778</v>
      </c>
      <c r="K77" s="24"/>
    </row>
    <row r="78" spans="1:11" ht="15" customHeight="1" x14ac:dyDescent="0.4">
      <c r="B78" s="35" t="s">
        <v>97</v>
      </c>
      <c r="C78" s="166">
        <f>C76-C77</f>
        <v>4721412</v>
      </c>
      <c r="D78" s="219"/>
      <c r="E78" s="167">
        <f>E76-E77</f>
        <v>4721412</v>
      </c>
      <c r="F78" s="219"/>
      <c r="H78" s="167">
        <f>H76-H77</f>
        <v>4721412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53132</v>
      </c>
      <c r="D79" s="164">
        <f>C79/$C$74</f>
        <v>2.7202256703967287E-3</v>
      </c>
      <c r="E79" s="186">
        <f>E74*F79</f>
        <v>53131.999999999993</v>
      </c>
      <c r="F79" s="165">
        <f t="shared" ref="F79:F84" si="8">I79</f>
        <v>2.7202256703967287E-3</v>
      </c>
      <c r="H79" s="205">
        <f>C79</f>
        <v>53132</v>
      </c>
      <c r="I79" s="165">
        <f>H79/$H$74</f>
        <v>2.7202256703967287E-3</v>
      </c>
      <c r="K79" s="24"/>
    </row>
    <row r="80" spans="1:11" ht="15" customHeight="1" x14ac:dyDescent="0.4">
      <c r="B80" s="28" t="s">
        <v>135</v>
      </c>
      <c r="C80" s="77">
        <f>MAX(Data!C14,0)+MAX(Data!C15,0)</f>
        <v>630037</v>
      </c>
      <c r="D80" s="164">
        <f>C80/$C$74</f>
        <v>3.2256320498000146E-2</v>
      </c>
      <c r="E80" s="186">
        <f>E74*F80</f>
        <v>630037</v>
      </c>
      <c r="F80" s="165">
        <f t="shared" si="8"/>
        <v>3.2256320498000146E-2</v>
      </c>
      <c r="H80" s="205">
        <f>H74*D80</f>
        <v>630037</v>
      </c>
      <c r="I80" s="165">
        <f>H80/$H$74</f>
        <v>3.2256320498000146E-2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4038243</v>
      </c>
      <c r="D83" s="169">
        <f>C83/$C$74</f>
        <v>0.2067479536230501</v>
      </c>
      <c r="E83" s="170">
        <f>E78-E79-E80-E81-E82</f>
        <v>4038243</v>
      </c>
      <c r="F83" s="169">
        <f>E83/E74</f>
        <v>0.2067479536230501</v>
      </c>
      <c r="H83" s="170">
        <f>H78-H79-H80-H81-H82</f>
        <v>4038243</v>
      </c>
      <c r="I83" s="169">
        <f>H83/$H$74</f>
        <v>0.2067479536230501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3028682.25</v>
      </c>
      <c r="D85" s="171">
        <f>C85/$C$74</f>
        <v>0.15506096521728757</v>
      </c>
      <c r="E85" s="172">
        <f>E83*(1-F84)</f>
        <v>3028682.25</v>
      </c>
      <c r="F85" s="171">
        <f>E85/E74</f>
        <v>0.15506096521728757</v>
      </c>
      <c r="H85" s="172">
        <f>H83*(1-I84)</f>
        <v>3028682.25</v>
      </c>
      <c r="I85" s="171">
        <f>H85/$H$74</f>
        <v>0.15506096521728757</v>
      </c>
      <c r="K85" s="24"/>
    </row>
    <row r="86" spans="1:11" ht="15" customHeight="1" x14ac:dyDescent="0.4">
      <c r="B86" s="87" t="s">
        <v>172</v>
      </c>
      <c r="C86" s="173">
        <f>C85*Data!C4/Common_Shares</f>
        <v>0.33402428308722287</v>
      </c>
      <c r="D86" s="218"/>
      <c r="E86" s="174">
        <f>E85*Data!C4/Common_Shares</f>
        <v>0.33402428308722287</v>
      </c>
      <c r="F86" s="218"/>
      <c r="H86" s="174">
        <f>H85*Data!C4/Common_Shares</f>
        <v>0.33402428308722287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6.5006269421473528E-2</v>
      </c>
      <c r="D87" s="218"/>
      <c r="E87" s="239">
        <f>E86*Exchange_Rate/Dashboard!G3</f>
        <v>6.5006269421473528E-2</v>
      </c>
      <c r="F87" s="218"/>
      <c r="H87" s="239">
        <f>H86*Exchange_Rate/Dashboard!G3</f>
        <v>6.5006269421473528E-2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0.31159999999999999</v>
      </c>
      <c r="D88" s="171">
        <f>C88/C86</f>
        <v>0.93286630876064991</v>
      </c>
      <c r="E88" s="204">
        <f>H88</f>
        <v>0.31159999999999999</v>
      </c>
      <c r="F88" s="171">
        <f>E88/E86</f>
        <v>0.93286630876064991</v>
      </c>
      <c r="H88" s="176">
        <f>Inputs!F6</f>
        <v>0.31159999999999999</v>
      </c>
      <c r="I88" s="171">
        <f>H88/H86</f>
        <v>0.93286630876064991</v>
      </c>
      <c r="K88" s="24"/>
    </row>
    <row r="89" spans="1:11" ht="15" customHeight="1" x14ac:dyDescent="0.4">
      <c r="B89" s="87" t="s">
        <v>249</v>
      </c>
      <c r="C89" s="165">
        <f>C88*Exchange_Rate/Dashboard!G3</f>
        <v>6.0642158601510322E-2</v>
      </c>
      <c r="D89" s="218"/>
      <c r="E89" s="165">
        <f>E88*Exchange_Rate/Dashboard!G3</f>
        <v>6.0642158601510322E-2</v>
      </c>
      <c r="F89" s="218"/>
      <c r="H89" s="165">
        <f>H88*Exchange_Rate/Dashboard!G3</f>
        <v>6.0642158601510322E-2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6.3563289704198844</v>
      </c>
      <c r="H93" s="87" t="s">
        <v>229</v>
      </c>
      <c r="I93" s="146">
        <f>FV(H87,D93,0,-(H86/C93))</f>
        <v>6.3563289704198844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5.8091070576798032</v>
      </c>
      <c r="H94" s="87" t="s">
        <v>230</v>
      </c>
      <c r="I94" s="146">
        <f>FV(H89,D93,0,-(H88/C93))</f>
        <v>5.8091070576798032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43734522.588620976</v>
      </c>
      <c r="E97" s="124">
        <f>PV(C94,D93,0,-F93)*Exchange_Rate</f>
        <v>3.3949504755866275</v>
      </c>
      <c r="F97" s="124">
        <f>PV(C93,D93,0,-F93)*Exchange_Rate</f>
        <v>4.8233493473361486</v>
      </c>
      <c r="H97" s="124">
        <f>PV(C93,D93,0,-I93)*Exchange_Rate</f>
        <v>4.8233493473361486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2639977.3936294666</v>
      </c>
      <c r="E98" s="222"/>
      <c r="F98" s="222"/>
      <c r="H98" s="124">
        <f>C98*Data!$C$4/Common_Shares</f>
        <v>0.2911551901073669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12281833.307561072</v>
      </c>
      <c r="E99" s="223"/>
      <c r="F99" s="148">
        <f>H99*0.85</f>
        <v>1.1513475805266904</v>
      </c>
      <c r="H99" s="148">
        <f>C99*Data!$C$4/Common_Shares</f>
        <v>1.3545265653255181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53376378.502552576</v>
      </c>
      <c r="E100" s="110">
        <f>MAX(E97-H98+F99,0)</f>
        <v>4.2551428660059507</v>
      </c>
      <c r="F100" s="110">
        <f>MAX(F97-H98+F99,0)</f>
        <v>5.6835417377554718</v>
      </c>
      <c r="H100" s="110">
        <f>MAX(C100*Data!$C$4/Common_Shares,0)</f>
        <v>5.8867207225542986</v>
      </c>
      <c r="I100" s="110">
        <f>H100*1.25</f>
        <v>7.358400903192873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39969379.340829246</v>
      </c>
      <c r="E103" s="110">
        <f>PV(C94,D93,0,-F94)*Exchange_Rate</f>
        <v>3.1026762239621646</v>
      </c>
      <c r="F103" s="124">
        <f>PV(C93,D93,0,-F94)*Exchange_Rate</f>
        <v>4.4081029892659576</v>
      </c>
      <c r="H103" s="124">
        <f>PV(C93,D93,0,-I94)*Exchange_Rate</f>
        <v>4.4081029892659576</v>
      </c>
      <c r="I103" s="110">
        <f>H103*1.25</f>
        <v>5.5101287365824465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45751741.42362383</v>
      </c>
      <c r="E106" s="110">
        <f>(E100+E103)/2</f>
        <v>3.6789095449840579</v>
      </c>
      <c r="F106" s="124">
        <f>(F100+F103)/2</f>
        <v>5.0458223635107142</v>
      </c>
      <c r="H106" s="124">
        <f>(H100+H103)/2</f>
        <v>5.1474118559101285</v>
      </c>
      <c r="I106" s="110">
        <f>H106*1.25</f>
        <v>6.4342648198876606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