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2355584-7935-4E0F-8830-7B3BF3016C84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6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G46" i="2" l="1"/>
  <c r="E46" i="2"/>
  <c r="D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E100" i="3"/>
  <c r="E106" i="3" s="1"/>
  <c r="C29" i="1" s="1"/>
  <c r="F29" i="1" l="1"/>
  <c r="C106" i="3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<sst xmlns="http://schemas.openxmlformats.org/spreadsheetml/2006/main" count="349" uniqueCount="250">
  <si>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</si>
  <si>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</si>
  <si>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</si>
  <si>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</si>
  <si>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</si>
  <si>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</si>
  <si>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</si>
  <si>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</si>
  <si>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</si>
  <si>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</si>
  <si>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</si>
  <si>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</si>
  <si>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</si>
  <si>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</si>
  <si>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</si>
  <si>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</si>
  <si>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</si>
  <si>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</si>
  <si>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</si>
  <si>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</si>
  <si>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</si>
  <si>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</si>
  <si>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</si>
  <si>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</si>
  <si>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</si>
  <si>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</si>
  <si>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</si>
  <si>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</si>
  <si>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</si>
  <si>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</si>
  <si>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</si>
  <si>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</si>
  <si>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</si>
  <si>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</si>
  <si>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</si>
  <si>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</si>
  <si>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</si>
  <si>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</si>
  <si>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</si>
  <si>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</si>
  <si>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</si>
  <si>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</si>
  <si>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</si>
  <si>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</si>
  <si>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</si>
  <si>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</si>
  <si>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</si>
  <si>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</si>
  <si>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</si>
  <si>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</si>
  <si>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</si>
  <si>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</si>
  <si>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</si>
  <si>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</si>
  <si>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</si>
  <si>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</si>
  <si>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</si>
  <si>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</si>
  <si>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</si>
  <si>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</si>
  <si>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</si>
  <si>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</si>
  <si>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</si>
  <si>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</si>
  <si>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</si>
  <si>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</si>
  <si>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</si>
  <si>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</si>
  <si>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</si>
  <si>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</si>
  <si>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</si>
  <si>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</si>
  <si>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</si>
  <si>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</si>
  <si>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</si>
  <si>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</si>
  <si>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</si>
  <si>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</si>
  <si>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</si>
  <si>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</si>
  <si>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</si>
  <si>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</si>
  <si>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</si>
  <si>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</si>
  <si>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</si>
  <si>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</si>
  <si>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</si>
  <si>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</si>
  <si>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</si>
  <si>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</si>
  <si>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</si>
  <si>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</si>
  <si>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</si>
  <si>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</si>
  <si>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</si>
  <si>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</si>
  <si>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</si>
  <si>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</si>
  <si>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</si>
  <si>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</si>
  <si>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</si>
  <si>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</si>
  <si>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</si>
  <si>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</si>
  <si>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</si>
  <si>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</si>
  <si>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</si>
  <si>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</si>
  <si>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</si>
  <si>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</si>
  <si>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</si>
  <si>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</si>
  <si>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</si>
  <si>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</si>
  <si>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</si>
  <si>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</si>
  <si>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</si>
  <si>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</si>
  <si>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</si>
  <si>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</si>
  <si>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</si>
  <si>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</si>
  <si>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</si>
  <si>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</si>
  <si>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</si>
  <si>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</si>
  <si>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</si>
  <si>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</si>
  <si>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</si>
  <si>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</si>
  <si>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</si>
  <si>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</si>
  <si>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</si>
  <si>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</si>
  <si>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</si>
  <si>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</si>
  <si>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</si>
  <si>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</si>
  <si>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</si>
  <si>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</si>
  <si>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</si>
  <si>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</si>
  <si>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</si>
  <si>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</si>
  <si>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</si>
  <si>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</si>
  <si>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</si>
  <si>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</si>
  <si>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</si>
  <si>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</si>
  <si>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</si>
  <si>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</si>
  <si>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</si>
  <si>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</si>
  <si>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</si>
  <si>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</si>
  <si>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</si>
  <si>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</si>
  <si>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</si>
  <si>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</si>
  <si>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</si>
  <si>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</si>
  <si>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</si>
  <si>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</si>
  <si>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</si>
  <si>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</si>
  <si>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</si>
  <si>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</si>
  <si>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</si>
  <si>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</si>
  <si>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</si>
  <si>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</si>
  <si>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</si>
  <si>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</si>
  <si>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</si>
  <si>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</si>
  <si>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</si>
  <si>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</si>
  <si>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</si>
  <si>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</si>
  <si>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</si>
  <si>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</si>
  <si>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</si>
  <si>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</si>
  <si>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</si>
  <si>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</si>
  <si>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</si>
  <si>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</si>
  <si>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</si>
  <si>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</si>
  <si>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</si>
  <si>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</si>
  <si>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</si>
  <si>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</si>
  <si>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</si>
  <si>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</si>
  <si>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</si>
  <si>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</si>
  <si>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</si>
  <si>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</si>
  <si>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</si>
  <si>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</si>
  <si>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</si>
  <si>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</si>
  <si>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</si>
  <si>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</si>
  <si>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</si>
  <si>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</si>
  <si>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</si>
  <si>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</si>
  <si>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</si>
  <si>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</si>
  <si>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</si>
  <si>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</si>
  <si>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</si>
  <si>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</si>
  <si>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</si>
  <si>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</si>
  <si>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</si>
  <si>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</si>
  <si>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</si>
  <si>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</si>
  <si>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</si>
  <si>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</si>
  <si>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</si>
  <si>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</si>
  <si>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</si>
  <si>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</si>
  <si>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</si>
  <si>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</si>
  <si>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</si>
  <si>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</si>
  <si>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</si>
  <si>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</si>
  <si>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</si>
  <si>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</si>
  <si>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</si>
  <si>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</si>
  <si>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</si>
  <si>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</si>
  <si>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</si>
  <si>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</si>
  <si>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</si>
  <si>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9959.HK</t>
    <phoneticPr fontId="20" type="noConversion"/>
  </si>
  <si>
    <t>聯易融科技－Ｗ</t>
    <phoneticPr fontId="20" type="noConversion"/>
  </si>
  <si>
    <t>C0008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</si>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</sst>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0" sqref="G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9959.HK</v>
      </c>
      <c r="D3" s="246"/>
      <c r="E3" s="87"/>
      <c r="F3" s="3" t="s">
        <v>1</v>
      </c>
      <c r="G3" s="133">
        <v>1.7699999809265137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聯易融科技－Ｗ</v>
      </c>
      <c r="D4" s="248"/>
      <c r="E4" s="87"/>
      <c r="F4" s="3" t="s">
        <v>3</v>
      </c>
      <c r="G4" s="251">
        <f>Inputs!C10</f>
        <v>2284983948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4044.4215443773901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C0008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0.39325092997635303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0.24326660244029483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9.5705744879944314E-3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0.57635255668591923</v>
      </c>
      <c r="F23" s="141" t="s">
        <v>204</v>
      </c>
      <c r="G23" s="183">
        <f>G3/(Data!C36*Data!C4/Common_Shares*Exchange_Rate)</f>
        <v>0.44379136007655828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-3.8863577771002356E-2</v>
      </c>
    </row>
    <row r="25" spans="1:8" ht="15.75" customHeight="1" x14ac:dyDescent="0.4">
      <c r="B25" s="138" t="s">
        <v>208</v>
      </c>
      <c r="C25" s="177">
        <f>Fin_Analysis!I82</f>
        <v>2.3716125582531654E-3</v>
      </c>
      <c r="F25" s="141" t="s">
        <v>188</v>
      </c>
      <c r="G25" s="177">
        <f>Fin_Analysis!I88</f>
        <v>-1.5617094502880811</v>
      </c>
    </row>
    <row r="26" spans="1:8" ht="15.75" customHeight="1" x14ac:dyDescent="0.4">
      <c r="B26" s="139" t="s">
        <v>187</v>
      </c>
      <c r="C26" s="177">
        <f>Fin_Analysis!I83</f>
        <v>-0.22481227614881466</v>
      </c>
      <c r="F26" s="142" t="s">
        <v>210</v>
      </c>
      <c r="G26" s="184">
        <f>Fin_Analysis!H88*Exchange_Rate/G3</f>
        <v>6.0693616676980179E-2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1.2474117191090512</v>
      </c>
      <c r="D29" s="130">
        <f>IF(Fin_Analysis!C108="Profit",Fin_Analysis!I100,IF(Fin_Analysis!C108="Dividend",Fin_Analysis!I103,Fin_Analysis!I106))</f>
        <v>1.9270026094708577</v>
      </c>
      <c r="E29" s="87"/>
      <c r="F29" s="132">
        <f>IF(Fin_Analysis!C108="Profit",Fin_Analysis!F100,IF(Fin_Analysis!C108="Dividend",Fin_Analysis!F103,Fin_Analysis!F106))</f>
        <v>1.3749734134615854</v>
      </c>
      <c r="G29" s="242">
        <f>IF(Fin_Analysis!C108="Profit",Fin_Analysis!H100,IF(Fin_Analysis!C108="Dividend",Fin_Analysis!H103,Fin_Analysis!H106))</f>
        <v>1.541602087576686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2" sqref="F12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v>0.1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2284983948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867764</v>
      </c>
      <c r="D19" s="152">
        <v>924200</v>
      </c>
      <c r="E19" s="152">
        <v>1198013</v>
      </c>
      <c r="F19" s="152">
        <v>1028541</v>
      </c>
      <c r="G19" s="152">
        <v>699593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341249</v>
      </c>
      <c r="D20" s="153">
        <v>149665</v>
      </c>
      <c r="E20" s="153">
        <v>270763</v>
      </c>
      <c r="F20" s="153">
        <v>398163</v>
      </c>
      <c r="G20" s="153">
        <v>336621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345571</v>
      </c>
      <c r="D21" s="153">
        <v>398159</v>
      </c>
      <c r="E21" s="153">
        <v>356401</v>
      </c>
      <c r="F21" s="153">
        <v>124222</v>
      </c>
      <c r="G21" s="153">
        <v>94347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134473</v>
      </c>
      <c r="D22" s="153">
        <v>105067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365801</v>
      </c>
      <c r="D23" s="153">
        <v>351118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134337</v>
      </c>
      <c r="D24" s="153">
        <v>170139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-252904</v>
      </c>
      <c r="D25" s="153">
        <v>1593322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8305</v>
      </c>
      <c r="D26" s="153">
        <v>30280</v>
      </c>
      <c r="E26" s="153">
        <v>135144</v>
      </c>
      <c r="F26" s="153">
        <v>140407</v>
      </c>
      <c r="G26" s="153">
        <v>108297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2058</v>
      </c>
      <c r="D27" s="153">
        <v>8397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11098580</v>
      </c>
      <c r="E28" s="153">
        <v>11219637</v>
      </c>
      <c r="F28" s="153">
        <v>5753012</v>
      </c>
      <c r="G28" s="153">
        <v>3489602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1937845</v>
      </c>
      <c r="E31" s="153">
        <v>2024596</v>
      </c>
      <c r="F31" s="153">
        <v>9408613</v>
      </c>
      <c r="G31" s="153">
        <v>6338479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29983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29464</v>
      </c>
      <c r="E33" s="153">
        <v>1195554</v>
      </c>
      <c r="F33" s="153">
        <v>2707794</v>
      </c>
      <c r="G33" s="153">
        <v>1053656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29983</v>
      </c>
      <c r="E34" s="153">
        <v>61277</v>
      </c>
      <c r="F34" s="153">
        <v>51229</v>
      </c>
      <c r="G34" s="153">
        <v>23195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9956528</v>
      </c>
      <c r="E35" s="153">
        <v>9722107</v>
      </c>
      <c r="F35" s="153">
        <v>-3323489</v>
      </c>
      <c r="G35" s="153">
        <v>-2590443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9957299</v>
      </c>
      <c r="E36" s="153">
        <v>9714578</v>
      </c>
      <c r="F36" s="153">
        <v>-3329901</v>
      </c>
      <c r="G36" s="153">
        <v>-2595281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4923071</v>
      </c>
      <c r="D40" s="60">
        <v>0.9</v>
      </c>
    </row>
    <row r="41" spans="2:13" ht="13.9" x14ac:dyDescent="0.4">
      <c r="B41" s="1" t="s">
        <v>146</v>
      </c>
      <c r="C41" s="59">
        <v>163001</v>
      </c>
      <c r="D41" s="60">
        <v>0.8</v>
      </c>
    </row>
    <row r="42" spans="2:13" ht="13.9" x14ac:dyDescent="0.4">
      <c r="B42" s="3" t="s">
        <v>121</v>
      </c>
      <c r="C42" s="59">
        <v>2576350</v>
      </c>
      <c r="D42" s="60">
        <f>D43</f>
        <v>0.6</v>
      </c>
    </row>
    <row r="43" spans="2:13" ht="13.9" x14ac:dyDescent="0.4">
      <c r="B43" s="3" t="s">
        <v>42</v>
      </c>
      <c r="C43" s="59">
        <v>924658</v>
      </c>
      <c r="D43" s="60">
        <v>0.6</v>
      </c>
    </row>
    <row r="44" spans="2:13" ht="13.9" x14ac:dyDescent="0.4">
      <c r="B44" s="3" t="s">
        <v>44</v>
      </c>
      <c r="C44" s="59">
        <v>43659</v>
      </c>
      <c r="D44" s="60">
        <v>0.5</v>
      </c>
    </row>
    <row r="45" spans="2:13" ht="13.9" x14ac:dyDescent="0.4">
      <c r="B45" s="1" t="s">
        <v>170</v>
      </c>
      <c r="C45" s="59">
        <v>0</v>
      </c>
      <c r="D45" s="60">
        <f>D42</f>
        <v>0.6</v>
      </c>
    </row>
    <row r="46" spans="2:13" ht="13.9" x14ac:dyDescent="0.4">
      <c r="B46" s="3" t="s">
        <v>122</v>
      </c>
      <c r="C46" s="59">
        <v>17580</v>
      </c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>
        <v>98517</v>
      </c>
      <c r="D53" s="60">
        <f>D43</f>
        <v>0.6</v>
      </c>
    </row>
    <row r="54" spans="2:4" ht="13.9" x14ac:dyDescent="0.4">
      <c r="B54" s="3" t="s">
        <v>65</v>
      </c>
      <c r="C54" s="59">
        <v>0</v>
      </c>
      <c r="D54" s="60">
        <f>D44</f>
        <v>0.5</v>
      </c>
    </row>
    <row r="55" spans="2:4" ht="13.9" x14ac:dyDescent="0.4">
      <c r="B55" s="1" t="s">
        <v>171</v>
      </c>
      <c r="C55" s="59">
        <v>0</v>
      </c>
      <c r="D55" s="60">
        <f>D54</f>
        <v>0.5</v>
      </c>
    </row>
    <row r="56" spans="2:4" ht="13.9" x14ac:dyDescent="0.4">
      <c r="B56" s="3" t="s">
        <v>68</v>
      </c>
      <c r="C56" s="59">
        <v>28511</v>
      </c>
      <c r="D56" s="60">
        <v>0.4</v>
      </c>
    </row>
    <row r="57" spans="2:4" ht="13.9" x14ac:dyDescent="0.4">
      <c r="B57" s="3" t="s">
        <v>70</v>
      </c>
      <c r="C57" s="59">
        <v>232091</v>
      </c>
      <c r="D57" s="60">
        <v>0.1</v>
      </c>
    </row>
    <row r="58" spans="2:4" ht="13.9" x14ac:dyDescent="0.4">
      <c r="B58" s="3" t="s">
        <v>72</v>
      </c>
      <c r="C58" s="59">
        <v>0</v>
      </c>
      <c r="D58" s="60">
        <v>0.2</v>
      </c>
    </row>
    <row r="59" spans="2:4" ht="13.9" x14ac:dyDescent="0.4">
      <c r="B59" s="1" t="s">
        <v>49</v>
      </c>
      <c r="C59" s="59">
        <v>0</v>
      </c>
      <c r="D59" s="60">
        <f>D57</f>
        <v>0.1</v>
      </c>
    </row>
    <row r="60" spans="2:4" ht="13.9" x14ac:dyDescent="0.4">
      <c r="B60" s="3" t="s">
        <v>123</v>
      </c>
      <c r="C60" s="59">
        <v>116537</v>
      </c>
      <c r="D60" s="60">
        <f>D57</f>
        <v>0.1</v>
      </c>
    </row>
    <row r="61" spans="2:4" ht="13.9" x14ac:dyDescent="0.4">
      <c r="B61" s="3" t="s">
        <v>73</v>
      </c>
      <c r="C61" s="59">
        <v>0</v>
      </c>
      <c r="D61" s="60">
        <f>D62</f>
        <v>0.05</v>
      </c>
    </row>
    <row r="62" spans="2:4" ht="13.9" x14ac:dyDescent="0.4">
      <c r="B62" s="3" t="s">
        <v>74</v>
      </c>
      <c r="C62" s="59">
        <v>306071</v>
      </c>
      <c r="D62" s="60">
        <v>0.05</v>
      </c>
    </row>
    <row r="63" spans="2:4" ht="13.9" x14ac:dyDescent="0.4">
      <c r="B63" s="3" t="s">
        <v>75</v>
      </c>
      <c r="C63" s="59">
        <v>88298</v>
      </c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270468</v>
      </c>
    </row>
    <row r="67" spans="2:3" ht="13.9" x14ac:dyDescent="0.4">
      <c r="B67" s="3" t="s">
        <v>40</v>
      </c>
      <c r="C67" s="59">
        <v>18682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959583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74975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75530</v>
      </c>
    </row>
    <row r="76" spans="2:3" ht="14.25" thickTop="1" x14ac:dyDescent="0.4">
      <c r="B76" s="73" t="s">
        <v>242</v>
      </c>
      <c r="C76" s="59">
        <v>8486660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169895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867764</v>
      </c>
      <c r="D6" s="209">
        <f>IF(Inputs!D19="","",Inputs!D19)</f>
        <v>924200</v>
      </c>
      <c r="E6" s="209">
        <f>IF(Inputs!E19="","",Inputs!E19)</f>
        <v>1198013</v>
      </c>
      <c r="F6" s="209">
        <f>IF(Inputs!F19="","",Inputs!F19)</f>
        <v>1028541</v>
      </c>
      <c r="G6" s="209">
        <f>IF(Inputs!G19="","",Inputs!G19)</f>
        <v>699593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341249</v>
      </c>
      <c r="D8" s="208">
        <f>IF(Inputs!D20="","",Inputs!D20)</f>
        <v>149665</v>
      </c>
      <c r="E8" s="208">
        <f>IF(Inputs!E20="","",Inputs!E20)</f>
        <v>270763</v>
      </c>
      <c r="F8" s="208">
        <f>IF(Inputs!F20="","",Inputs!F20)</f>
        <v>398163</v>
      </c>
      <c r="G8" s="208">
        <f>IF(Inputs!G20="","",Inputs!G20)</f>
        <v>336621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526515</v>
      </c>
      <c r="D9" s="154">
        <f t="shared" si="2"/>
        <v>774535</v>
      </c>
      <c r="E9" s="154">
        <f t="shared" si="2"/>
        <v>927250</v>
      </c>
      <c r="F9" s="154">
        <f t="shared" si="2"/>
        <v>630378</v>
      </c>
      <c r="G9" s="154">
        <f t="shared" si="2"/>
        <v>362972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345571</v>
      </c>
      <c r="D10" s="208">
        <f>IF(Inputs!D21="","",Inputs!D21)</f>
        <v>398159</v>
      </c>
      <c r="E10" s="208">
        <f>IF(Inputs!E21="","",Inputs!E21)</f>
        <v>356401</v>
      </c>
      <c r="F10" s="208">
        <f>IF(Inputs!F21="","",Inputs!F21)</f>
        <v>124222</v>
      </c>
      <c r="G10" s="208">
        <f>IF(Inputs!G21="","",Inputs!G21)</f>
        <v>94347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0.15496494438580075</v>
      </c>
      <c r="D11" s="155">
        <f t="shared" ref="D11:M11" si="3">IF(OR(D6="",D12=""),"",D12/D6)</f>
        <v>0.11368426747457261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134473</v>
      </c>
      <c r="D12" s="208">
        <f>IF(Inputs!D22="","",Inputs!D22)</f>
        <v>105067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315417</v>
      </c>
      <c r="D13" s="154">
        <f t="shared" ref="D13:M13" si="4">IF(D6="","",(D9-D10+MAX(D12,0)))</f>
        <v>481443</v>
      </c>
      <c r="E13" s="154">
        <f t="shared" si="4"/>
        <v>570849</v>
      </c>
      <c r="F13" s="154">
        <f t="shared" si="4"/>
        <v>506156</v>
      </c>
      <c r="G13" s="154">
        <f t="shared" si="4"/>
        <v>268625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365801</v>
      </c>
      <c r="D14" s="208">
        <f>IF(Inputs!D23="","",Inputs!D23)</f>
        <v>351118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134337</v>
      </c>
      <c r="D15" s="208">
        <f>IF(Inputs!D24="","",Inputs!D24)</f>
        <v>170139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-252904</v>
      </c>
      <c r="D16" s="208">
        <f>IF(Inputs!D25="","",Inputs!D25)</f>
        <v>1593322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8305</v>
      </c>
      <c r="D17" s="208">
        <f>IF(Inputs!D26="","",Inputs!D26)</f>
        <v>30280</v>
      </c>
      <c r="E17" s="208">
        <f>IF(Inputs!E26="","",Inputs!E26)</f>
        <v>135144</v>
      </c>
      <c r="F17" s="208">
        <f>IF(Inputs!F26="","",Inputs!F26)</f>
        <v>140407</v>
      </c>
      <c r="G17" s="208">
        <f>IF(Inputs!G26="","",Inputs!G26)</f>
        <v>108297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2058</v>
      </c>
      <c r="D18" s="208">
        <f>IF(Inputs!D27="","",Inputs!D27)</f>
        <v>8397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169895</v>
      </c>
      <c r="D19" s="237">
        <f>IF(D6="","",D9-D10-MAX(D17,0)-MAX(D18,0)/(1-Fin_Analysis!$I$84))</f>
        <v>334900</v>
      </c>
      <c r="E19" s="237">
        <f>IF(E6="","",E9-E10-MAX(E17,0)-MAX(E18,0)/(1-Fin_Analysis!$I$84))</f>
        <v>435705</v>
      </c>
      <c r="F19" s="237">
        <f>IF(F6="","",F9-F10-MAX(F17,0)-MAX(F18,0)/(1-Fin_Analysis!$I$84))</f>
        <v>365749</v>
      </c>
      <c r="G19" s="237">
        <f>IF(G6="","",G9-G10-MAX(G17,0)-MAX(G18,0)/(1-Fin_Analysis!$I$84))</f>
        <v>160328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-0.49269931322782923</v>
      </c>
      <c r="D20" s="238">
        <f t="shared" ref="D20:M20" si="5">IF(E19="","",IF(ABS(D19+E19)=ABS(D19)+ABS(E19),IF(D19&lt;0,-1,1)*(D19-E19)/E19,"Turn"))</f>
        <v>-0.23136066834211222</v>
      </c>
      <c r="E20" s="238">
        <f t="shared" si="5"/>
        <v>0.19126778200350514</v>
      </c>
      <c r="F20" s="238">
        <f t="shared" si="5"/>
        <v>1.281254677910284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-195770</v>
      </c>
      <c r="D21" s="77">
        <f>IF(D6="","",D13-MAX(D14,0)-MAX(D15,0)-MAX(D16,0)-MAX(D17,0)-MAX(D18,0)/(1-Fin_Analysis!$I$84))</f>
        <v>-1674612</v>
      </c>
      <c r="E21" s="77">
        <f>IF(E6="","",E13-MAX(E14,0)-MAX(E15,0)-MAX(E16,0)-MAX(E17,0)-MAX(E18,0)/(1-Fin_Analysis!$I$84))</f>
        <v>435705</v>
      </c>
      <c r="F21" s="77">
        <f>IF(F6="","",F13-MAX(F14,0)-MAX(F15,0)-MAX(F16,0)-MAX(F17,0)-MAX(F18,0)/(1-Fin_Analysis!$I$84))</f>
        <v>365749</v>
      </c>
      <c r="G21" s="77">
        <f>IF(G6="","",G13-MAX(G14,0)-MAX(G15,0)-MAX(G16,0)-MAX(G17,0)-MAX(G18,0)/(1-Fin_Analysis!$I$84))</f>
        <v>160328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0.88309530804747605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0.19126778200350514</v>
      </c>
      <c r="F22" s="156">
        <f t="shared" si="6"/>
        <v>1.281254677910284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-0.16920211025117429</v>
      </c>
      <c r="D23" s="157">
        <f t="shared" si="7"/>
        <v>-1.3589688379138714</v>
      </c>
      <c r="E23" s="157">
        <f t="shared" si="7"/>
        <v>0.27276728215804003</v>
      </c>
      <c r="F23" s="157">
        <f t="shared" si="7"/>
        <v>0.26669986903779236</v>
      </c>
      <c r="G23" s="157">
        <f t="shared" si="7"/>
        <v>0.17187993590559081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-146827.5</v>
      </c>
      <c r="D24" s="77">
        <f>IF(D6="","",D21*(1-Fin_Analysis!$I$84))</f>
        <v>-1255959</v>
      </c>
      <c r="E24" s="77">
        <f>IF(E6="","",E21*(1-Fin_Analysis!$I$84))</f>
        <v>326778.75</v>
      </c>
      <c r="F24" s="77">
        <f>IF(F6="","",F21*(1-Fin_Analysis!$I$84))</f>
        <v>274311.75</v>
      </c>
      <c r="G24" s="77">
        <f>IF(G6="","",G21*(1-Fin_Analysis!$I$84))</f>
        <v>120246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0.88309530804747605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0.19126778200350514</v>
      </c>
      <c r="F25" s="159">
        <f t="shared" si="8"/>
        <v>1.281254677910284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18">IF(D36="","",D36+D31+D32)</f>
        <v>11924356</v>
      </c>
      <c r="E27" s="65">
        <f t="shared" si="18"/>
        <v>11807980</v>
      </c>
      <c r="F27" s="65">
        <f t="shared" si="18"/>
        <v>6136353</v>
      </c>
      <c r="G27" s="65">
        <f t="shared" si="18"/>
        <v>3771231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8">
        <f>IF(Inputs!D28="","",Inputs!D28)</f>
        <v>11098580</v>
      </c>
      <c r="E28" s="208">
        <f>IF(Inputs!E28="","",Inputs!E28)</f>
        <v>11219637</v>
      </c>
      <c r="F28" s="208">
        <f>IF(Inputs!F28="","",Inputs!F28)</f>
        <v>5753012</v>
      </c>
      <c r="G28" s="208">
        <f>IF(Inputs!G28="","",Inputs!G28)</f>
        <v>3489602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2576350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8">
        <f>IF(Inputs!D31="","",Inputs!D31)</f>
        <v>1937845</v>
      </c>
      <c r="E31" s="208">
        <f>IF(Inputs!E31="","",Inputs!E31)</f>
        <v>2024596</v>
      </c>
      <c r="F31" s="208">
        <f>IF(Inputs!F31="","",Inputs!F31)</f>
        <v>9408613</v>
      </c>
      <c r="G31" s="208">
        <f>IF(Inputs!G31="","",Inputs!G31)</f>
        <v>6338479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75530</v>
      </c>
      <c r="D32" s="208">
        <f>IF(Inputs!D32="","",Inputs!D32)</f>
        <v>29983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8">
        <f>IF(Inputs!D33="","",Inputs!D33)</f>
        <v>29464</v>
      </c>
      <c r="E33" s="208">
        <f>IF(Inputs!E33="","",Inputs!E33)</f>
        <v>1195554</v>
      </c>
      <c r="F33" s="208">
        <f>IF(Inputs!F33="","",Inputs!F33)</f>
        <v>2707794</v>
      </c>
      <c r="G33" s="208">
        <f>IF(Inputs!G33="","",Inputs!G33)</f>
        <v>1053656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8">
        <f>IF(Inputs!D34="","",Inputs!D34)</f>
        <v>29983</v>
      </c>
      <c r="E34" s="208">
        <f>IF(Inputs!E34="","",Inputs!E34)</f>
        <v>61277</v>
      </c>
      <c r="F34" s="208">
        <f>IF(Inputs!F34="","",Inputs!F34)</f>
        <v>51229</v>
      </c>
      <c r="G34" s="208">
        <f>IF(Inputs!G34="","",Inputs!G34)</f>
        <v>23195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364125</v>
      </c>
      <c r="D35" s="77">
        <f t="shared" ref="D35" si="20">IF(OR(D33="",D34=""),"",D33+D34)</f>
        <v>59447</v>
      </c>
      <c r="E35" s="77">
        <f t="shared" ref="E35" si="21">IF(OR(E33="",E34=""),"",E33+E34)</f>
        <v>1256831</v>
      </c>
      <c r="F35" s="77">
        <f t="shared" ref="F35" si="22">IF(OR(F33="",F34=""),"",F33+F34)</f>
        <v>2759023</v>
      </c>
      <c r="G35" s="77">
        <f t="shared" ref="G35" si="23">IF(OR(G33="",G34=""),"",G33+G34)</f>
        <v>1076851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8483231</v>
      </c>
      <c r="D36" s="208">
        <f>IF(Inputs!D35="","",Inputs!D35)</f>
        <v>9956528</v>
      </c>
      <c r="E36" s="208">
        <f>IF(Inputs!E35="","",Inputs!E35)</f>
        <v>9722107</v>
      </c>
      <c r="F36" s="208">
        <f>IF(Inputs!F35="","",Inputs!F35)</f>
        <v>-3323489</v>
      </c>
      <c r="G36" s="208">
        <f>IF(Inputs!G35="","",Inputs!G35)</f>
        <v>-2590443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-3429</v>
      </c>
      <c r="D37" s="208">
        <f>IF(Inputs!D36="","",Inputs!D36)</f>
        <v>9957299</v>
      </c>
      <c r="E37" s="208">
        <f>IF(Inputs!E36="","",Inputs!E36)</f>
        <v>9714578</v>
      </c>
      <c r="F37" s="208">
        <f>IF(Inputs!F36="","",Inputs!F36)</f>
        <v>-3329901</v>
      </c>
      <c r="G37" s="208">
        <f>IF(Inputs!G36="","",Inputs!G36)</f>
        <v>-2595281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6221996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3296348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-5.9389967321411455E-2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0.39325092997635303</v>
      </c>
      <c r="D42" s="161">
        <f t="shared" si="33"/>
        <v>0.16194005626487773</v>
      </c>
      <c r="E42" s="161">
        <f t="shared" si="33"/>
        <v>0.22601006833815659</v>
      </c>
      <c r="F42" s="161">
        <f t="shared" si="33"/>
        <v>0.38711436880007699</v>
      </c>
      <c r="G42" s="161">
        <f t="shared" si="33"/>
        <v>0.48116690704452447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0.24326660244029483</v>
      </c>
      <c r="D43" s="157">
        <f t="shared" ref="D43:M43" si="34">IF(D6="","",(D10-MAX(D12,0))/D6)</f>
        <v>0.31713049123566328</v>
      </c>
      <c r="E43" s="157">
        <f t="shared" si="34"/>
        <v>0.29749343287593705</v>
      </c>
      <c r="F43" s="157">
        <f t="shared" si="34"/>
        <v>0.12077496181484258</v>
      </c>
      <c r="G43" s="157">
        <f t="shared" si="34"/>
        <v>0.13485983993550535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0.57635255668591923</v>
      </c>
      <c r="D44" s="157">
        <f t="shared" ref="D44:M44" si="35">IF(D6="","",(MAX(D14,0)+MAX(D15,0))/D6)</f>
        <v>0.56400887253841159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1.7240012984202553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9.5705744879944314E-3</v>
      </c>
      <c r="D46" s="157">
        <f t="shared" ref="D46:M46" si="37">IF(D6="","",MAX(D17,0)/D6)</f>
        <v>3.2763471110149316E-2</v>
      </c>
      <c r="E46" s="157">
        <f t="shared" si="37"/>
        <v>0.11280678924185297</v>
      </c>
      <c r="F46" s="157">
        <f t="shared" si="37"/>
        <v>0.13651084400135727</v>
      </c>
      <c r="G46" s="157">
        <f t="shared" si="37"/>
        <v>0.15480000514584907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3.1621500776708874E-3</v>
      </c>
      <c r="D47" s="157">
        <f>IF(D6="","",MAX(D18,0)/(1-Fin_Analysis!$I$84)/D6)</f>
        <v>1.2114260982471326E-2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-0.22560281366823237</v>
      </c>
      <c r="D48" s="157">
        <f t="shared" si="38"/>
        <v>-1.8119584505518287</v>
      </c>
      <c r="E48" s="157">
        <f t="shared" si="38"/>
        <v>0.36368970954405339</v>
      </c>
      <c r="F48" s="157">
        <f t="shared" si="38"/>
        <v>0.35559982538372314</v>
      </c>
      <c r="G48" s="157">
        <f t="shared" si="38"/>
        <v>0.22917324787412111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2.9689523879764543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0.10874927403338228</v>
      </c>
      <c r="D53" s="161">
        <f t="shared" ref="D53:M53" si="41">IF(D36="","",(D27-D36)/D27)</f>
        <v>0.16502593515322755</v>
      </c>
      <c r="E53" s="161">
        <f t="shared" si="41"/>
        <v>0.176649435381835</v>
      </c>
      <c r="F53" s="161">
        <f t="shared" si="41"/>
        <v>1.5416065535995078</v>
      </c>
      <c r="G53" s="161">
        <f t="shared" si="41"/>
        <v>1.6868958703404804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-0.53764503947820119</v>
      </c>
      <c r="D54" s="162">
        <f t="shared" ref="D54:M54" si="42">IF(OR(D21="",D35=""),"",IF(D35&lt;=0,"-",D21/D35))</f>
        <v>-28.169831951149764</v>
      </c>
      <c r="E54" s="162">
        <f t="shared" si="42"/>
        <v>0.34666952040489135</v>
      </c>
      <c r="F54" s="162">
        <f t="shared" si="42"/>
        <v>0.13256467959853904</v>
      </c>
      <c r="G54" s="162">
        <f t="shared" si="42"/>
        <v>0.1488859647249248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-4.2422230168054346E-2</v>
      </c>
      <c r="D55" s="157">
        <f t="shared" ref="D55:M55" si="43">IF(D21="","",IF(MAX(D17,0)&lt;=0,"-",D17/D21))</f>
        <v>-1.8081800440937962E-2</v>
      </c>
      <c r="E55" s="157">
        <f t="shared" si="43"/>
        <v>0.31017316762488378</v>
      </c>
      <c r="F55" s="157">
        <f t="shared" si="43"/>
        <v>0.38388895116596355</v>
      </c>
      <c r="G55" s="157">
        <f t="shared" si="43"/>
        <v>0.67547153335661891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9.0125804646393277</v>
      </c>
      <c r="D56" s="163">
        <f t="shared" si="44"/>
        <v>5.7272795295805388</v>
      </c>
      <c r="E56" s="163">
        <f t="shared" si="44"/>
        <v>5.5416670782714181</v>
      </c>
      <c r="F56" s="163">
        <f t="shared" si="44"/>
        <v>0.61146228461091978</v>
      </c>
      <c r="G56" s="163">
        <f t="shared" si="44"/>
        <v>0.55054248818999008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E106" sqref="E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6284942.8231000062</v>
      </c>
      <c r="E6" s="56">
        <f>1-D6/D3</f>
        <v>0.25913336285431743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2.9548433150900708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4923071</v>
      </c>
      <c r="D11" s="207">
        <f>Inputs!D40</f>
        <v>0.9</v>
      </c>
      <c r="E11" s="88">
        <f t="shared" ref="E11:E21" si="0">C11*D11</f>
        <v>4430763.9000000004</v>
      </c>
      <c r="F11" s="113"/>
      <c r="G11" s="87"/>
      <c r="H11" s="3" t="s">
        <v>39</v>
      </c>
      <c r="I11" s="40">
        <f>Inputs!C66</f>
        <v>270468</v>
      </c>
      <c r="J11" s="87"/>
      <c r="K11" s="24"/>
    </row>
    <row r="12" spans="1:11" ht="13.9" x14ac:dyDescent="0.4">
      <c r="B12" s="1" t="s">
        <v>146</v>
      </c>
      <c r="C12" s="40">
        <f>Inputs!C41</f>
        <v>163001</v>
      </c>
      <c r="D12" s="207">
        <f>Inputs!D41</f>
        <v>0.8</v>
      </c>
      <c r="E12" s="88">
        <f t="shared" si="0"/>
        <v>130400.8</v>
      </c>
      <c r="F12" s="113"/>
      <c r="G12" s="87"/>
      <c r="H12" s="3" t="s">
        <v>40</v>
      </c>
      <c r="I12" s="40">
        <f>Inputs!C67</f>
        <v>18682</v>
      </c>
      <c r="J12" s="87"/>
      <c r="K12" s="24"/>
    </row>
    <row r="13" spans="1:11" ht="13.9" x14ac:dyDescent="0.4">
      <c r="B13" s="3" t="s">
        <v>121</v>
      </c>
      <c r="C13" s="40">
        <f>Inputs!C42</f>
        <v>2576350</v>
      </c>
      <c r="D13" s="207">
        <f>Inputs!D42</f>
        <v>0.6</v>
      </c>
      <c r="E13" s="88">
        <f t="shared" si="0"/>
        <v>1545810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924658</v>
      </c>
      <c r="D14" s="207">
        <f>Inputs!D43</f>
        <v>0.6</v>
      </c>
      <c r="E14" s="88">
        <f>C14*D14</f>
        <v>554794.79999999993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43659</v>
      </c>
      <c r="D15" s="207">
        <f>Inputs!D44</f>
        <v>0.5</v>
      </c>
      <c r="E15" s="88">
        <f>C15*D15</f>
        <v>21829.5</v>
      </c>
      <c r="F15" s="113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17580</v>
      </c>
      <c r="D17" s="207">
        <f>Inputs!D46</f>
        <v>0.1</v>
      </c>
      <c r="E17" s="88">
        <f t="shared" si="0"/>
        <v>1758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4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4">
        <f t="shared" ref="F25:F27" si="2"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>
        <f t="shared" si="2"/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 t="shared" ref="D28" si="4">E28/C28</f>
        <v>0.77302386741284634</v>
      </c>
      <c r="E28" s="70">
        <f>SUM(E24:E27)</f>
        <v>6685357</v>
      </c>
      <c r="F28" s="113"/>
      <c r="G28" s="87"/>
      <c r="H28" s="78" t="s">
        <v>16</v>
      </c>
      <c r="I28" s="215">
        <f>Inputs!C70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98517</v>
      </c>
      <c r="D31" s="207">
        <f>Inputs!D53</f>
        <v>0.6</v>
      </c>
      <c r="E31" s="88">
        <f t="shared" ref="E31:E42" si="5">C31*D31</f>
        <v>59110.2</v>
      </c>
      <c r="F31" s="113"/>
      <c r="G31" s="87"/>
      <c r="H31" s="3" t="s">
        <v>64</v>
      </c>
      <c r="I31" s="40">
        <f>Inputs!C72</f>
        <v>74975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28511</v>
      </c>
      <c r="D34" s="207">
        <f>Inputs!D56</f>
        <v>0.4</v>
      </c>
      <c r="E34" s="88">
        <f t="shared" si="5"/>
        <v>11404.400000000001</v>
      </c>
      <c r="F34" s="113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Inputs!C57</f>
        <v>232091</v>
      </c>
      <c r="D35" s="207">
        <f>Inputs!D57</f>
        <v>0.1</v>
      </c>
      <c r="E35" s="88">
        <f t="shared" si="5"/>
        <v>23209.100000000002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116537</v>
      </c>
      <c r="D38" s="207">
        <f>Inputs!D60</f>
        <v>0.1</v>
      </c>
      <c r="E38" s="88">
        <f>C38*D38</f>
        <v>11653.7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306071</v>
      </c>
      <c r="D40" s="207">
        <f>Inputs!D62</f>
        <v>0.05</v>
      </c>
      <c r="E40" s="88">
        <f t="shared" si="5"/>
        <v>15303.550000000001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88298</v>
      </c>
      <c r="D41" s="207">
        <f>Inputs!D63</f>
        <v>0.9</v>
      </c>
      <c r="E41" s="88">
        <f t="shared" si="5"/>
        <v>79468.2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 t="shared" ref="D46:D47" si="6"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 t="shared" si="6"/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16">
        <f>Inputs!C75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364125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7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4923071</v>
      </c>
      <c r="D62" s="108">
        <f t="shared" si="7"/>
        <v>0.9</v>
      </c>
      <c r="E62" s="119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6221996</v>
      </c>
      <c r="D63" s="29">
        <f t="shared" si="7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5857871</v>
      </c>
      <c r="D65" s="29">
        <f t="shared" si="7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3296348</v>
      </c>
      <c r="D68" s="29">
        <f t="shared" si="7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2625360</v>
      </c>
      <c r="D70" s="29">
        <f t="shared" si="7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867764</v>
      </c>
      <c r="D74" s="218"/>
      <c r="E74" s="205">
        <f>H74</f>
        <v>867764</v>
      </c>
      <c r="F74" s="218"/>
      <c r="H74" s="205">
        <f>C74</f>
        <v>867764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341249</v>
      </c>
      <c r="D75" s="164">
        <f>C75/$C$74</f>
        <v>0.39325092997635303</v>
      </c>
      <c r="E75" s="186">
        <f>E74*F75</f>
        <v>341249</v>
      </c>
      <c r="F75" s="165">
        <f>I75</f>
        <v>0.39325092997635303</v>
      </c>
      <c r="H75" s="205">
        <f>D75*H74</f>
        <v>341249</v>
      </c>
      <c r="I75" s="165">
        <f>H75/$H$74</f>
        <v>0.39325092997635303</v>
      </c>
      <c r="K75" s="24"/>
    </row>
    <row r="76" spans="1:11" ht="15" customHeight="1" x14ac:dyDescent="0.4">
      <c r="B76" s="35" t="s">
        <v>96</v>
      </c>
      <c r="C76" s="166">
        <f>C74-C75</f>
        <v>526515</v>
      </c>
      <c r="D76" s="219"/>
      <c r="E76" s="167">
        <f>E74-E75</f>
        <v>526515</v>
      </c>
      <c r="F76" s="219"/>
      <c r="H76" s="167">
        <f>H74-H75</f>
        <v>526515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211098</v>
      </c>
      <c r="D77" s="164">
        <f>C77/$C$74</f>
        <v>0.24326660244029483</v>
      </c>
      <c r="E77" s="186">
        <f>E74*F77</f>
        <v>211098</v>
      </c>
      <c r="F77" s="165">
        <f>I77</f>
        <v>0.24326660244029483</v>
      </c>
      <c r="H77" s="205">
        <f>D77*H74</f>
        <v>211098</v>
      </c>
      <c r="I77" s="165">
        <f>H77/$H$74</f>
        <v>0.24326660244029483</v>
      </c>
      <c r="K77" s="24"/>
    </row>
    <row r="78" spans="1:11" ht="15" customHeight="1" x14ac:dyDescent="0.4">
      <c r="B78" s="35" t="s">
        <v>97</v>
      </c>
      <c r="C78" s="166">
        <f>C76-C77</f>
        <v>315417</v>
      </c>
      <c r="D78" s="219"/>
      <c r="E78" s="167">
        <f>E76-E77</f>
        <v>315417</v>
      </c>
      <c r="F78" s="219"/>
      <c r="H78" s="167">
        <f>H76-H77</f>
        <v>315417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8305</v>
      </c>
      <c r="D79" s="164">
        <f>C79/$C$74</f>
        <v>9.5705744879944314E-3</v>
      </c>
      <c r="E79" s="186">
        <f>E74*F79</f>
        <v>8305</v>
      </c>
      <c r="F79" s="165">
        <f t="shared" ref="F79:F84" si="8">I79</f>
        <v>9.5705744879944314E-3</v>
      </c>
      <c r="H79" s="205">
        <f>C79</f>
        <v>8305</v>
      </c>
      <c r="I79" s="165">
        <f>H79/$H$74</f>
        <v>9.5705744879944314E-3</v>
      </c>
      <c r="K79" s="24"/>
    </row>
    <row r="80" spans="1:11" ht="15" customHeight="1" x14ac:dyDescent="0.4">
      <c r="B80" s="28" t="s">
        <v>135</v>
      </c>
      <c r="C80" s="77">
        <f>MAX(Data!C14,0)+MAX(Data!C15,0)</f>
        <v>500138</v>
      </c>
      <c r="D80" s="164">
        <f>C80/$C$74</f>
        <v>0.57635255668591923</v>
      </c>
      <c r="E80" s="186">
        <f>E74*F80</f>
        <v>500138</v>
      </c>
      <c r="F80" s="165">
        <f t="shared" si="8"/>
        <v>0.57635255668591923</v>
      </c>
      <c r="H80" s="205">
        <f>H74*D80</f>
        <v>500138</v>
      </c>
      <c r="I80" s="165">
        <f>H80/$H$74</f>
        <v>0.57635255668591923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2058</v>
      </c>
      <c r="D82" s="164">
        <f>C82/$C$74</f>
        <v>2.3716125582531654E-3</v>
      </c>
      <c r="E82" s="186">
        <f>E74*F82</f>
        <v>2058</v>
      </c>
      <c r="F82" s="165">
        <f t="shared" si="8"/>
        <v>2.3716125582531654E-3</v>
      </c>
      <c r="H82" s="205">
        <f>H74*D82</f>
        <v>2058</v>
      </c>
      <c r="I82" s="165">
        <f>H82/$H$74</f>
        <v>2.3716125582531654E-3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-195084</v>
      </c>
      <c r="D83" s="169">
        <f>C83/$C$74</f>
        <v>-0.22481227614881466</v>
      </c>
      <c r="E83" s="170">
        <f>E78-E79-E80-E81-E82</f>
        <v>-195084</v>
      </c>
      <c r="F83" s="169">
        <f>E83/E74</f>
        <v>-0.22481227614881466</v>
      </c>
      <c r="H83" s="170">
        <f>H78-H79-H80-H81-H82</f>
        <v>-195084</v>
      </c>
      <c r="I83" s="169">
        <f>H83/$H$74</f>
        <v>-0.22481227614881466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-146313</v>
      </c>
      <c r="D85" s="171">
        <f>C85/$C$74</f>
        <v>-0.16860920711161098</v>
      </c>
      <c r="E85" s="172">
        <f>E83*(1-F84)</f>
        <v>-146313</v>
      </c>
      <c r="F85" s="171">
        <f>E85/E74</f>
        <v>-0.16860920711161098</v>
      </c>
      <c r="H85" s="172">
        <f>H83*(1-I84)</f>
        <v>-146313</v>
      </c>
      <c r="I85" s="171">
        <f>H85/$H$74</f>
        <v>-0.16860920711161098</v>
      </c>
      <c r="K85" s="24"/>
    </row>
    <row r="86" spans="1:11" ht="15" customHeight="1" x14ac:dyDescent="0.4">
      <c r="B86" s="87" t="s">
        <v>172</v>
      </c>
      <c r="C86" s="173">
        <f>C85*Data!C4/Common_Shares</f>
        <v>-6.4032397307676847E-2</v>
      </c>
      <c r="D86" s="218"/>
      <c r="E86" s="174">
        <f>E85*Data!C4/Common_Shares</f>
        <v>-6.4032397307676847E-2</v>
      </c>
      <c r="F86" s="218"/>
      <c r="H86" s="174">
        <f>H85*Data!C4/Common_Shares</f>
        <v>-6.4032397307676847E-2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-3.8863577771002356E-2</v>
      </c>
      <c r="D87" s="218"/>
      <c r="E87" s="239">
        <f>E86*Exchange_Rate/Dashboard!G3</f>
        <v>-3.8863577771002356E-2</v>
      </c>
      <c r="F87" s="218"/>
      <c r="H87" s="239">
        <f>H86*Exchange_Rate/Dashboard!G3</f>
        <v>-3.8863577771002356E-2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</v>
      </c>
      <c r="D88" s="171">
        <f>C88/C86</f>
        <v>-1.5617094502880811</v>
      </c>
      <c r="E88" s="204">
        <f>H88</f>
        <v>0.1</v>
      </c>
      <c r="F88" s="171">
        <f>E88/E86</f>
        <v>-1.5617094502880811</v>
      </c>
      <c r="H88" s="176">
        <f>Inputs!F6</f>
        <v>0.1</v>
      </c>
      <c r="I88" s="171">
        <f>H88/H86</f>
        <v>-1.5617094502880811</v>
      </c>
      <c r="K88" s="24"/>
    </row>
    <row r="89" spans="1:11" ht="15" customHeight="1" x14ac:dyDescent="0.4">
      <c r="B89" s="87" t="s">
        <v>249</v>
      </c>
      <c r="C89" s="165">
        <f>C88*Exchange_Rate/Dashboard!G3</f>
        <v>6.0693616676980179E-2</v>
      </c>
      <c r="D89" s="218"/>
      <c r="E89" s="165">
        <f>E88*Exchange_Rate/Dashboard!G3</f>
        <v>6.0693616676980179E-2</v>
      </c>
      <c r="F89" s="218"/>
      <c r="H89" s="165">
        <f>H88*Exchange_Rate/Dashboard!G3</f>
        <v>6.0693616676980179E-2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-0.72944481384785831</v>
      </c>
      <c r="H93" s="87" t="s">
        <v>229</v>
      </c>
      <c r="I93" s="146">
        <f>FV(H87,D93,0,-(H86/C93))</f>
        <v>-0.72944481384785831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1.8647356760364451</v>
      </c>
      <c r="H94" s="87" t="s">
        <v>230</v>
      </c>
      <c r="I94" s="146">
        <f>FV(H89,D93,0,-(H88/C93))</f>
        <v>1.8647356760364451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-1264788.6125308843</v>
      </c>
      <c r="E97" s="124">
        <f>PV(C94,D93,0,-F93)*Exchange_Rate</f>
        <v>-0.3896005114290676</v>
      </c>
      <c r="F97" s="124">
        <f>PV(C93,D93,0,-F93)*Exchange_Rate</f>
        <v>-0.55352188081580533</v>
      </c>
      <c r="H97" s="124">
        <f>PV(C93,D93,0,-I93)*Exchange_Rate</f>
        <v>-0.55352188081580533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5076584.6083937082</v>
      </c>
      <c r="E99" s="223"/>
      <c r="F99" s="148">
        <f>H99*0.85</f>
        <v>1.8884583066378073</v>
      </c>
      <c r="H99" s="148">
        <f>C99*Data!$C$4/Common_Shares</f>
        <v>2.2217156548680088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3811795.9958628239</v>
      </c>
      <c r="E100" s="110">
        <f>MAX(E97-H98+F99,0)</f>
        <v>1.4988577952087399</v>
      </c>
      <c r="F100" s="110">
        <f>MAX(F97-H98+F99,0)</f>
        <v>1.334936425822002</v>
      </c>
      <c r="H100" s="110">
        <f>MAX(C100*Data!$C$4/Common_Shares,0)</f>
        <v>1.6681937740522035</v>
      </c>
      <c r="I100" s="110">
        <f>H100*1.25</f>
        <v>2.0852422175652543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3233276.0527692121</v>
      </c>
      <c r="E103" s="110">
        <f>PV(C94,D93,0,-F94)*Exchange_Rate</f>
        <v>0.99596564300936263</v>
      </c>
      <c r="F103" s="124">
        <f>PV(C93,D93,0,-F94)*Exchange_Rate</f>
        <v>1.4150104011011688</v>
      </c>
      <c r="H103" s="124">
        <f>PV(C93,D93,0,-I94)*Exchange_Rate</f>
        <v>1.4150104011011688</v>
      </c>
      <c r="I103" s="110">
        <f>H103*1.25</f>
        <v>1.768763001376461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3141792.1786864894</v>
      </c>
      <c r="E106" s="110">
        <f>(E100+E103)/2</f>
        <v>1.2474117191090512</v>
      </c>
      <c r="F106" s="124">
        <f>(F100+F103)/2</f>
        <v>1.3749734134615854</v>
      </c>
      <c r="H106" s="124">
        <f>(H100+H103)/2</f>
        <v>1.541602087576686</v>
      </c>
      <c r="I106" s="110">
        <f>H106*1.25</f>
        <v>1.9270026094708577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