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539872E7-F14D-4722-A60E-85E35A2F3F59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<sst xmlns="http://schemas.openxmlformats.org/spreadsheetml/2006/main" count="390" uniqueCount="266">
  <si>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</si>
  <si>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</si>
  <si>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</si>
  <si>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</si>
  <si>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</si>
  <si>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</si>
  <si>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</si>
  <si>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</si>
  <si>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</si>
  <si>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</si>
  <si>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</si>
  <si>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</si>
  <si>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</si>
  <si>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</si>
  <si>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</si>
  <si>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</si>
  <si>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</si>
  <si>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</si>
  <si>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</si>
  <si>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</si>
  <si>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</si>
  <si>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</si>
  <si>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</si>
  <si>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</si>
  <si>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</si>
  <si>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</si>
  <si>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</si>
  <si>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</si>
  <si>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</si>
  <si>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</si>
  <si>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</si>
  <si>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</si>
  <si>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</si>
  <si>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</si>
  <si>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</si>
  <si>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</si>
  <si>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</si>
  <si>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</si>
  <si>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</si>
  <si>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</si>
  <si>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</si>
  <si>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</si>
  <si>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</si>
  <si>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</si>
  <si>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</si>
  <si>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</si>
  <si>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</si>
  <si>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</si>
  <si>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</si>
  <si>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</si>
  <si>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</si>
  <si>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</si>
  <si>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</si>
  <si>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</si>
  <si>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</si>
  <si>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</si>
  <si>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</si>
  <si>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</si>
  <si>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</si>
  <si>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</si>
  <si>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</si>
  <si>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</si>
  <si>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</si>
  <si>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</si>
  <si>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</si>
  <si>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</si>
  <si>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</si>
  <si>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</si>
  <si>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</si>
  <si>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</si>
  <si>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</si>
  <si>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</si>
  <si>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</si>
  <si>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</si>
  <si>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</si>
  <si>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</si>
  <si>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</si>
  <si>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</si>
  <si>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</si>
  <si>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</si>
  <si>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</si>
  <si>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</si>
  <si>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</si>
  <si>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</si>
  <si>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</si>
  <si>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</si>
  <si>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</si>
  <si>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</si>
  <si>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</si>
  <si>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</si>
  <si>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</si>
  <si>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</si>
  <si>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</si>
  <si>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</si>
  <si>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</si>
  <si>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</si>
  <si>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</si>
  <si>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</si>
  <si>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</si>
  <si>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</si>
  <si>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</si>
  <si>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</si>
  <si>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</si>
  <si>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</si>
  <si>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</si>
  <si>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</si>
  <si>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</si>
  <si>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</si>
  <si>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</si>
  <si>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</si>
  <si>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</si>
  <si>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</si>
  <si>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</si>
  <si>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</si>
  <si>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</si>
  <si>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</si>
  <si>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</si>
  <si>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</si>
  <si>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</si>
  <si>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</si>
  <si>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</si>
  <si>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</si>
  <si>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</si>
  <si>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</si>
  <si>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</si>
  <si>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</si>
  <si>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</si>
  <si>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</si>
  <si>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</si>
  <si>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</si>
  <si>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</si>
  <si>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</si>
  <si>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</si>
  <si>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</si>
  <si>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</si>
  <si>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</si>
  <si>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</si>
  <si>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</si>
  <si>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</si>
  <si>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</si>
  <si>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</si>
  <si>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</si>
  <si>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</si>
  <si>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</si>
  <si>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</si>
  <si>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</si>
  <si>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</si>
  <si>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</si>
  <si>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</si>
  <si>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</si>
  <si>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</si>
  <si>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</si>
  <si>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</si>
  <si>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</si>
  <si>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</si>
  <si>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</si>
  <si>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</si>
  <si>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</si>
  <si>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</si>
  <si>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</si>
  <si>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</si>
  <si>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</si>
  <si>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</si>
  <si>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</si>
  <si>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</si>
  <si>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</si>
  <si>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</si>
  <si>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</si>
  <si>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</si>
  <si>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</si>
  <si>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</si>
  <si>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</si>
  <si>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</si>
  <si>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</si>
  <si>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</si>
  <si>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</si>
  <si>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</si>
  <si>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</si>
  <si>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</si>
  <si>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</si>
  <si>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</si>
  <si>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</si>
  <si>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</si>
  <si>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</si>
  <si>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</si>
  <si>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</si>
  <si>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</si>
  <si>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</si>
  <si>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</si>
  <si>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</si>
  <si>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</si>
  <si>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</si>
  <si>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</si>
  <si>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</si>
  <si>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</si>
  <si>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</si>
  <si>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</si>
  <si>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</si>
  <si>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</si>
  <si>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</si>
  <si>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</si>
  <si>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</si>
  <si>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</si>
  <si>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</si>
  <si>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</si>
  <si>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</si>
  <si>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</si>
  <si>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</si>
  <si>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</si>
  <si>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</si>
  <si>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</si>
  <si>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</si>
  <si>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</si>
  <si>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</si>
  <si>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</si>
  <si>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</si>
  <si>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</si>
  <si>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</si>
  <si>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</si>
  <si>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</si>
  <si>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</si>
  <si>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</si>
  <si>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</si>
  <si>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</si>
  <si>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</si>
  <si>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</si>
  <si>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</si>
  <si>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</si>
  <si>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</si>
  <si>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</si>
  <si>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</si>
  <si>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</si>
  <si>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</si>
  <si>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</si>
  <si>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</si>
  <si>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</si>
  <si>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</si>
  <si>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</si>
  <si>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</si>
  <si>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</si>
  <si>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</si>
  <si>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</si>
  <si>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</si>
  <si>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</si>
  <si>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</si>
  <si>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</si>
  <si>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</si>
  <si>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</si>
  <si>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</si>
  <si>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</si>
  <si>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</si>
  <si>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</si>
  <si>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</si>
  <si>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</si>
  <si>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</si>
  <si>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</si>
  <si>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</si>
  <si>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</si>
  <si>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</si>
  <si>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</si>
  <si>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</si>
  <si>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</si>
  <si>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0806.HK</t>
    <phoneticPr fontId="20" type="noConversion"/>
  </si>
  <si>
    <t>VALUE PARTNERS</t>
    <phoneticPr fontId="20" type="noConversion"/>
  </si>
  <si>
    <t>C0008</t>
    <phoneticPr fontId="20" type="noConversion"/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</si>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</sst>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0.8782397408207343</c:v>
                </c:pt>
                <c:pt idx="1">
                  <c:v>4.9909100797116086E-2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7.1851158382149574E-2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18" sqref="D1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45636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1826710016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514856</v>
      </c>
      <c r="D25" s="149">
        <v>584543</v>
      </c>
      <c r="E25" s="149">
        <v>1281649</v>
      </c>
      <c r="F25" s="149">
        <v>2561449</v>
      </c>
      <c r="G25" s="149">
        <v>0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452167</v>
      </c>
      <c r="D26" s="150">
        <v>500512</v>
      </c>
      <c r="E26" s="150">
        <v>772245</v>
      </c>
      <c r="F26" s="150">
        <v>1183731</v>
      </c>
      <c r="G26" s="150">
        <v>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25696</v>
      </c>
      <c r="D27" s="150">
        <v>24555</v>
      </c>
      <c r="E27" s="150">
        <v>26149</v>
      </c>
      <c r="F27" s="150">
        <v>30530</v>
      </c>
      <c r="G27" s="150">
        <v>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3.3999923061679871E-2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2.0481881362457755E-2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514856</v>
      </c>
      <c r="D91" s="209"/>
      <c r="E91" s="251">
        <f>C91</f>
        <v>514856</v>
      </c>
      <c r="F91" s="251">
        <f>C91</f>
        <v>514856</v>
      </c>
    </row>
    <row r="92" spans="2:8" ht="13.9" x14ac:dyDescent="0.4">
      <c r="B92" s="104" t="s">
        <v>105</v>
      </c>
      <c r="C92" s="77">
        <f>C26</f>
        <v>452167</v>
      </c>
      <c r="D92" s="159">
        <f>C92/C91</f>
        <v>0.8782397408207343</v>
      </c>
      <c r="E92" s="252">
        <f>E91*D92</f>
        <v>452167</v>
      </c>
      <c r="F92" s="252">
        <f>F91*D92</f>
        <v>452167</v>
      </c>
    </row>
    <row r="93" spans="2:8" ht="13.9" x14ac:dyDescent="0.4">
      <c r="B93" s="104" t="s">
        <v>247</v>
      </c>
      <c r="C93" s="77">
        <f>C27+C28</f>
        <v>25696</v>
      </c>
      <c r="D93" s="159">
        <f>C93/C91</f>
        <v>4.9909100797116086E-2</v>
      </c>
      <c r="E93" s="252">
        <f>E91*D93</f>
        <v>25696</v>
      </c>
      <c r="F93" s="252">
        <f>F91*D93</f>
        <v>25696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3.3999923061679871E-2</v>
      </c>
      <c r="D98" s="266"/>
      <c r="E98" s="254">
        <f>F98</f>
        <v>3.3999923061679871E-2</v>
      </c>
      <c r="F98" s="254">
        <f>C98</f>
        <v>3.3999923061679871E-2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0806.HK : VALUE PARTNERS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0806.HK</v>
      </c>
      <c r="D3" s="278"/>
      <c r="E3" s="87"/>
      <c r="F3" s="3" t="s">
        <v>1</v>
      </c>
      <c r="G3" s="132">
        <v>1.66</v>
      </c>
      <c r="H3" s="134" t="s">
        <v>265</v>
      </c>
    </row>
    <row r="4" spans="1:10" ht="15.75" customHeight="1" x14ac:dyDescent="0.4">
      <c r="B4" s="35" t="s">
        <v>195</v>
      </c>
      <c r="C4" s="279" t="str">
        <f>Inputs!C5</f>
        <v>VALUE PARTNERS</v>
      </c>
      <c r="D4" s="280"/>
      <c r="E4" s="87"/>
      <c r="F4" s="3" t="s">
        <v>2</v>
      </c>
      <c r="G4" s="283">
        <f>Inputs!C10</f>
        <v>1826710016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45636</v>
      </c>
      <c r="D5" s="282"/>
      <c r="E5" s="34"/>
      <c r="F5" s="35" t="s">
        <v>99</v>
      </c>
      <c r="G5" s="275">
        <f>G3*G4/1000000</f>
        <v>3032.3386265599997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C0008</v>
      </c>
      <c r="E7" s="87"/>
      <c r="F7" s="35" t="s">
        <v>5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0.8782397408207343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4.9909100797116086E-2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260</v>
      </c>
      <c r="G24" s="268">
        <f>G3/(Fin_Analysis!H86*G7)</f>
        <v>109.29414129015399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2.2385496355166294</v>
      </c>
    </row>
    <row r="26" spans="1:8" ht="15.75" customHeight="1" x14ac:dyDescent="0.4">
      <c r="B26" s="138" t="s">
        <v>173</v>
      </c>
      <c r="C26" s="171">
        <f>Fin_Analysis!I83</f>
        <v>7.1851158382149574E-2</v>
      </c>
      <c r="F26" s="141" t="s">
        <v>193</v>
      </c>
      <c r="G26" s="178">
        <f>Fin_Analysis!H88*Exchange_Rate/G3</f>
        <v>2.0481881362457755E-2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9.3300987659782869E-2</v>
      </c>
      <c r="D29" s="129">
        <f>G29*(1+G20)</f>
        <v>0.16350881296024747</v>
      </c>
      <c r="E29" s="87"/>
      <c r="F29" s="131">
        <f>IF(Fin_Analysis!C108="Profit",Fin_Analysis!F100,IF(Fin_Analysis!C108="Dividend",Fin_Analysis!F103,Fin_Analysis!F106))</f>
        <v>0.10976586783503867</v>
      </c>
      <c r="G29" s="274">
        <f>IF(Fin_Analysis!C108="Profit",Fin_Analysis!I100,IF(Fin_Analysis!C108="Dividend",Fin_Analysis!I103,Fin_Analysis!I106))</f>
        <v>0.14218157648717172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36993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HKD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514856</v>
      </c>
      <c r="D6" s="200">
        <f>IF(Inputs!D25="","",Inputs!D25)</f>
        <v>584543</v>
      </c>
      <c r="E6" s="200">
        <f>IF(Inputs!E25="","",Inputs!E25)</f>
        <v>1281649</v>
      </c>
      <c r="F6" s="200">
        <f>IF(Inputs!F25="","",Inputs!F25)</f>
        <v>2561449</v>
      </c>
      <c r="G6" s="200">
        <f>IF(Inputs!G25="","",Inputs!G25)</f>
        <v>0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-0.11921620821735956</v>
      </c>
      <c r="D7" s="92">
        <f t="shared" si="1"/>
        <v>-0.54391334913069023</v>
      </c>
      <c r="E7" s="92">
        <f t="shared" si="1"/>
        <v>-0.49963907147868258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452167</v>
      </c>
      <c r="D8" s="199">
        <f>IF(Inputs!D26="","",Inputs!D26)</f>
        <v>500512</v>
      </c>
      <c r="E8" s="199">
        <f>IF(Inputs!E26="","",Inputs!E26)</f>
        <v>772245</v>
      </c>
      <c r="F8" s="199">
        <f>IF(Inputs!F26="","",Inputs!F26)</f>
        <v>1183731</v>
      </c>
      <c r="G8" s="199">
        <f>IF(Inputs!G26="","",Inputs!G26)</f>
        <v>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62689</v>
      </c>
      <c r="D9" s="151">
        <f t="shared" si="2"/>
        <v>84031</v>
      </c>
      <c r="E9" s="151">
        <f t="shared" si="2"/>
        <v>509404</v>
      </c>
      <c r="F9" s="151">
        <f t="shared" si="2"/>
        <v>1377718</v>
      </c>
      <c r="G9" s="151">
        <f t="shared" si="2"/>
        <v>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25696</v>
      </c>
      <c r="D10" s="199">
        <f>IF(Inputs!D27="","",Inputs!D27)</f>
        <v>24555</v>
      </c>
      <c r="E10" s="199">
        <f>IF(Inputs!E27="","",Inputs!E27)</f>
        <v>26149</v>
      </c>
      <c r="F10" s="199">
        <f>IF(Inputs!F27="","",Inputs!F27)</f>
        <v>30530</v>
      </c>
      <c r="G10" s="199">
        <f>IF(Inputs!G27="","",Inputs!G27)</f>
        <v>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7.1851158382149574E-2</v>
      </c>
      <c r="D13" s="229">
        <f t="shared" si="3"/>
        <v>0.10174786114965025</v>
      </c>
      <c r="E13" s="229">
        <f t="shared" si="3"/>
        <v>0.377057213012299</v>
      </c>
      <c r="F13" s="229">
        <f t="shared" si="3"/>
        <v>0.52594761793031986</v>
      </c>
      <c r="G13" s="229" t="e">
        <f t="shared" si="3"/>
        <v>#DIV/0!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36993</v>
      </c>
      <c r="D14" s="230">
        <f t="shared" ref="D14:M14" si="4">IF(D6="","",D9-D10-MAX(D11,0)-MAX(D12,0))</f>
        <v>59476</v>
      </c>
      <c r="E14" s="230">
        <f t="shared" si="4"/>
        <v>483255</v>
      </c>
      <c r="F14" s="230">
        <f t="shared" si="4"/>
        <v>1347188</v>
      </c>
      <c r="G14" s="230">
        <f t="shared" si="4"/>
        <v>0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-0.37801802407693857</v>
      </c>
      <c r="D15" s="232">
        <f t="shared" ref="D15:M15" si="5">IF(E14="","",IF(ABS(D14+E14)=ABS(D14)+ABS(E14),IF(D14&lt;0,-1,1)*(D14-E14)/E14,"Turn"))</f>
        <v>-0.87692626046290256</v>
      </c>
      <c r="E15" s="232">
        <f t="shared" si="5"/>
        <v>-0.6412861456604424</v>
      </c>
      <c r="F15" s="232" t="e">
        <f t="shared" si="5"/>
        <v>#DIV/0!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e">
        <f t="shared" si="7"/>
        <v>#DIV/0!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36993</v>
      </c>
      <c r="D22" s="161">
        <f t="shared" ref="D22:M22" si="8">IF(D6="","",D14-MAX(D16,0)-MAX(D17,0)-ABS(MAX(D21,0)-MAX(D19,0)))</f>
        <v>59476</v>
      </c>
      <c r="E22" s="161">
        <f t="shared" si="8"/>
        <v>483255</v>
      </c>
      <c r="F22" s="161">
        <f t="shared" si="8"/>
        <v>1347188</v>
      </c>
      <c r="G22" s="161">
        <f t="shared" si="8"/>
        <v>0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5.3888368786612177E-2</v>
      </c>
      <c r="D23" s="153">
        <f t="shared" si="9"/>
        <v>7.6310895862237674E-2</v>
      </c>
      <c r="E23" s="153">
        <f t="shared" si="9"/>
        <v>0.28279290975922428</v>
      </c>
      <c r="F23" s="153">
        <f t="shared" si="9"/>
        <v>0.39446071344773992</v>
      </c>
      <c r="G23" s="153" t="e">
        <f t="shared" si="9"/>
        <v>#DIV/0!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27744.75</v>
      </c>
      <c r="D24" s="77">
        <f>IF(D6="","",D22*(1-Fin_Analysis!$I$84))</f>
        <v>44607</v>
      </c>
      <c r="E24" s="77">
        <f>IF(E6="","",E22*(1-Fin_Analysis!$I$84))</f>
        <v>362441.25</v>
      </c>
      <c r="F24" s="77">
        <f>IF(F6="","",F22*(1-Fin_Analysis!$I$84))</f>
        <v>1010391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-0.37801802407693857</v>
      </c>
      <c r="D25" s="233">
        <f t="shared" ref="D25:M25" si="10">IF(E24="","",IF(ABS(D24+E24)=ABS(D24)+ABS(E24),IF(D24&lt;0,-1,1)*(D24-E24)/E24,"Turn"))</f>
        <v>-0.87692626046290256</v>
      </c>
      <c r="E25" s="233">
        <f t="shared" si="10"/>
        <v>-0.6412861456604424</v>
      </c>
      <c r="F25" s="233" t="e">
        <f t="shared" si="10"/>
        <v>#DIV/0!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0.8782397408207343</v>
      </c>
      <c r="D42" s="156">
        <f t="shared" si="34"/>
        <v>0.85624496401462336</v>
      </c>
      <c r="E42" s="156">
        <f t="shared" si="34"/>
        <v>0.60254016505299035</v>
      </c>
      <c r="F42" s="156">
        <f t="shared" si="34"/>
        <v>0.46213334717966276</v>
      </c>
      <c r="G42" s="156" t="e">
        <f t="shared" si="34"/>
        <v>#DIV/0!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4.9909100797116086E-2</v>
      </c>
      <c r="D43" s="153">
        <f t="shared" si="35"/>
        <v>4.2007174835726371E-2</v>
      </c>
      <c r="E43" s="153">
        <f t="shared" si="35"/>
        <v>2.0402621934710673E-2</v>
      </c>
      <c r="F43" s="153">
        <f t="shared" si="35"/>
        <v>1.1919034890017331E-2</v>
      </c>
      <c r="G43" s="153" t="e">
        <f t="shared" si="35"/>
        <v>#DIV/0!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e">
        <f t="shared" si="36"/>
        <v>#DIV/0!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>
        <f t="shared" si="37"/>
        <v>0</v>
      </c>
      <c r="F45" s="153">
        <f t="shared" si="37"/>
        <v>0</v>
      </c>
      <c r="G45" s="153" t="e">
        <f t="shared" si="37"/>
        <v>#DIV/0!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e">
        <f t="shared" si="38"/>
        <v>#DIV/0!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e">
        <f t="shared" si="39"/>
        <v>#DIV/0!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7.1851158382149574E-2</v>
      </c>
      <c r="D48" s="153">
        <f t="shared" si="40"/>
        <v>0.10174786114965025</v>
      </c>
      <c r="E48" s="153">
        <f t="shared" si="40"/>
        <v>0.377057213012299</v>
      </c>
      <c r="F48" s="153">
        <f t="shared" si="40"/>
        <v>0.52594761793031986</v>
      </c>
      <c r="G48" s="153" t="e">
        <f t="shared" si="40"/>
        <v>#DIV/0!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>-</v>
      </c>
      <c r="F55" s="153" t="str">
        <f t="shared" si="45"/>
        <v>-</v>
      </c>
      <c r="G55" s="153" t="str">
        <f t="shared" si="45"/>
        <v>-</v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E100" sqref="E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514856</v>
      </c>
      <c r="D74" s="209"/>
      <c r="E74" s="238">
        <f>Inputs!E91</f>
        <v>514856</v>
      </c>
      <c r="F74" s="209"/>
      <c r="H74" s="238">
        <f>Inputs!F91</f>
        <v>514856</v>
      </c>
      <c r="I74" s="209"/>
      <c r="K74" s="24"/>
    </row>
    <row r="75" spans="1:11" ht="15" customHeight="1" x14ac:dyDescent="0.4">
      <c r="B75" s="104" t="s">
        <v>105</v>
      </c>
      <c r="C75" s="77">
        <f>Data!C8</f>
        <v>452167</v>
      </c>
      <c r="D75" s="159">
        <f>C75/$C$74</f>
        <v>0.8782397408207343</v>
      </c>
      <c r="E75" s="238">
        <f>Inputs!E92</f>
        <v>452167</v>
      </c>
      <c r="F75" s="160">
        <f>E75/E74</f>
        <v>0.8782397408207343</v>
      </c>
      <c r="H75" s="238">
        <f>Inputs!F92</f>
        <v>452167</v>
      </c>
      <c r="I75" s="160">
        <f>H75/$H$74</f>
        <v>0.8782397408207343</v>
      </c>
      <c r="K75" s="24"/>
    </row>
    <row r="76" spans="1:11" ht="15" customHeight="1" x14ac:dyDescent="0.4">
      <c r="B76" s="35" t="s">
        <v>95</v>
      </c>
      <c r="C76" s="161">
        <f>C74-C75</f>
        <v>62689</v>
      </c>
      <c r="D76" s="210"/>
      <c r="E76" s="162">
        <f>E74-E75</f>
        <v>62689</v>
      </c>
      <c r="F76" s="210"/>
      <c r="H76" s="162">
        <f>H74-H75</f>
        <v>62689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25696</v>
      </c>
      <c r="D77" s="159">
        <f>C77/$C$74</f>
        <v>4.9909100797116086E-2</v>
      </c>
      <c r="E77" s="238">
        <f>Inputs!E93</f>
        <v>25696</v>
      </c>
      <c r="F77" s="160">
        <f>E77/E74</f>
        <v>4.9909100797116086E-2</v>
      </c>
      <c r="H77" s="238">
        <f>Inputs!F93</f>
        <v>25696</v>
      </c>
      <c r="I77" s="160">
        <f>H77/$H$74</f>
        <v>4.9909100797116086E-2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36993</v>
      </c>
      <c r="D79" s="258">
        <f>C79/C74</f>
        <v>7.1851158382149574E-2</v>
      </c>
      <c r="E79" s="259">
        <f>E76-E77-E78</f>
        <v>36993</v>
      </c>
      <c r="F79" s="258">
        <f>E79/E74</f>
        <v>7.1851158382149574E-2</v>
      </c>
      <c r="G79" s="260"/>
      <c r="H79" s="259">
        <f>H76-H77-H78</f>
        <v>36993</v>
      </c>
      <c r="I79" s="258">
        <f>H79/H74</f>
        <v>7.1851158382149574E-2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36993</v>
      </c>
      <c r="D83" s="164">
        <f>C83/$C$74</f>
        <v>7.1851158382149574E-2</v>
      </c>
      <c r="E83" s="165">
        <f>E79-E81-E82-E80</f>
        <v>36993</v>
      </c>
      <c r="F83" s="164">
        <f>E83/E74</f>
        <v>7.1851158382149574E-2</v>
      </c>
      <c r="H83" s="165">
        <f>H79-H81-H82-H80</f>
        <v>36993</v>
      </c>
      <c r="I83" s="164">
        <f>H83/$H$74</f>
        <v>7.1851158382149574E-2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27744.75</v>
      </c>
      <c r="D85" s="258">
        <f>C85/$C$74</f>
        <v>5.3888368786612177E-2</v>
      </c>
      <c r="E85" s="264">
        <f>E83*(1-F84)</f>
        <v>27744.75</v>
      </c>
      <c r="F85" s="258">
        <f>E85/E74</f>
        <v>5.3888368786612177E-2</v>
      </c>
      <c r="G85" s="260"/>
      <c r="H85" s="264">
        <f>H83*(1-I84)</f>
        <v>27744.75</v>
      </c>
      <c r="I85" s="258">
        <f>H85/$H$74</f>
        <v>5.3888368786612177E-2</v>
      </c>
      <c r="K85" s="24"/>
    </row>
    <row r="86" spans="1:11" ht="15" customHeight="1" x14ac:dyDescent="0.4">
      <c r="B86" s="87" t="s">
        <v>160</v>
      </c>
      <c r="C86" s="167">
        <f>C85*Data!C4/Common_Shares</f>
        <v>1.518837131070945E-2</v>
      </c>
      <c r="D86" s="209"/>
      <c r="E86" s="168">
        <f>E85*Data!C4/Common_Shares</f>
        <v>1.518837131070945E-2</v>
      </c>
      <c r="F86" s="209"/>
      <c r="H86" s="168">
        <f>H85*Data!C4/Common_Shares</f>
        <v>1.518837131070945E-2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9.1496212715117178E-3</v>
      </c>
      <c r="D87" s="209"/>
      <c r="E87" s="262">
        <f>E86*Exchange_Rate/Dashboard!G3</f>
        <v>9.1496212715117178E-3</v>
      </c>
      <c r="F87" s="209"/>
      <c r="H87" s="262">
        <f>H86*Exchange_Rate/Dashboard!G3</f>
        <v>9.1496212715117178E-3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3.3999923061679871E-2</v>
      </c>
      <c r="D88" s="166">
        <f>C88/C86</f>
        <v>2.2385496355166294</v>
      </c>
      <c r="E88" s="170">
        <f>Inputs!E98</f>
        <v>3.3999923061679871E-2</v>
      </c>
      <c r="F88" s="166">
        <f>E88/E86</f>
        <v>2.2385496355166294</v>
      </c>
      <c r="H88" s="170">
        <f>Inputs!F98</f>
        <v>3.3999923061679871E-2</v>
      </c>
      <c r="I88" s="166">
        <f>H88/H86</f>
        <v>2.2385496355166294</v>
      </c>
      <c r="K88" s="24"/>
    </row>
    <row r="89" spans="1:11" ht="15" customHeight="1" x14ac:dyDescent="0.4">
      <c r="B89" s="87" t="s">
        <v>221</v>
      </c>
      <c r="C89" s="261">
        <f>C88*Exchange_Rate/Dashboard!G3</f>
        <v>2.0481881362457755E-2</v>
      </c>
      <c r="D89" s="209"/>
      <c r="E89" s="261">
        <f>E88*Exchange_Rate/Dashboard!G3</f>
        <v>2.0481881362457755E-2</v>
      </c>
      <c r="F89" s="209"/>
      <c r="H89" s="261">
        <f>H88*Exchange_Rate/Dashboard!G3</f>
        <v>2.0481881362457755E-2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0.22077836721218003</v>
      </c>
      <c r="H93" s="87" t="s">
        <v>209</v>
      </c>
      <c r="I93" s="144">
        <f>FV(H87,D93,0,-(H86/(C93-D94)))*Exchange_Rate</f>
        <v>0.22077836721218003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0.52260303674219333</v>
      </c>
      <c r="H94" s="87" t="s">
        <v>210</v>
      </c>
      <c r="I94" s="144">
        <f>FV(H89,D93,0,-(H88/(C93-D94)))*Exchange_Rate</f>
        <v>0.52260303674219333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200510.41018919737</v>
      </c>
      <c r="D97" s="213"/>
      <c r="E97" s="123">
        <f>PV(C94,D93,0,-F93)</f>
        <v>0.10976586783503867</v>
      </c>
      <c r="F97" s="213"/>
      <c r="H97" s="123">
        <f>PV(C94,D93,0,-I93)</f>
        <v>0.10976586783503867</v>
      </c>
      <c r="I97" s="123">
        <f>PV(C93,D93,0,-I93)</f>
        <v>0.14218157648717172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200510.41018919737</v>
      </c>
      <c r="D100" s="109">
        <f>MIN(F100*(1-C94),E100)</f>
        <v>9.3300987659782869E-2</v>
      </c>
      <c r="E100" s="109">
        <f>MAX(E97-H98+E99,0)</f>
        <v>0.10976586783503867</v>
      </c>
      <c r="F100" s="109">
        <f>(E100+H100)/2</f>
        <v>0.10976586783503867</v>
      </c>
      <c r="H100" s="109">
        <f>MAX(C100*Data!$C$4/Common_Shares,0)</f>
        <v>0.10976586783503867</v>
      </c>
      <c r="I100" s="109">
        <f>MAX(I97-H98+H99,0)</f>
        <v>0.14218157648717172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474626.88752739545</v>
      </c>
      <c r="D103" s="109">
        <f>MIN(F103*(1-C94),E103)</f>
        <v>0.22085216091478754</v>
      </c>
      <c r="E103" s="123">
        <f>PV(C94,D93,0,-F94)</f>
        <v>0.25982607166445593</v>
      </c>
      <c r="F103" s="109">
        <f>(E103+H103)/2</f>
        <v>0.25982607166445593</v>
      </c>
      <c r="H103" s="123">
        <f>PV(C94,D93,0,-I94)</f>
        <v>0.25982607166445593</v>
      </c>
      <c r="I103" s="109">
        <f>PV(C93,D93,0,-I94)</f>
        <v>0.33655708473275231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337568.64885829639</v>
      </c>
      <c r="D106" s="109">
        <f>(D100+D103)/2</f>
        <v>0.15707657428728522</v>
      </c>
      <c r="E106" s="123">
        <f>(E100+E103)/2</f>
        <v>0.1847959697497473</v>
      </c>
      <c r="F106" s="109">
        <f>(F100+F103)/2</f>
        <v>0.1847959697497473</v>
      </c>
      <c r="H106" s="123">
        <f>(H100+H103)/2</f>
        <v>0.1847959697497473</v>
      </c>
      <c r="I106" s="123">
        <f>(I100+I103)/2</f>
        <v>0.23936933060996202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2024-12-10T06:12:30Z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