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1523B3C6-2A49-4591-91A2-734B7F80EFBA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1" i="4" l="1"/>
  <c r="E92" i="4" s="1"/>
  <c r="F92" i="4"/>
  <c r="E98" i="4"/>
  <c r="C48" i="4"/>
  <c r="C51" i="4"/>
  <c r="C50" i="4"/>
  <c r="C64" i="4"/>
  <c r="C61" i="4"/>
  <c r="C65" i="4"/>
  <c r="C68" i="4"/>
  <c r="D33" i="4"/>
  <c r="C33" i="4"/>
  <c r="D32" i="4"/>
  <c r="C32" i="4"/>
  <c r="D31" i="4"/>
  <c r="C31" i="4"/>
  <c r="D27" i="4"/>
  <c r="C27" i="4"/>
  <c r="F98" i="4"/>
  <c r="F94" i="4"/>
  <c r="F91" i="4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7" i="4" l="1"/>
  <c r="D53" i="4"/>
  <c r="D33" i="2"/>
  <c r="C43" i="1"/>
  <c r="C40" i="1"/>
  <c r="C39" i="1"/>
  <c r="C37" i="1"/>
  <c r="C36" i="1"/>
  <c r="C98" i="4"/>
  <c r="D93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F93" i="4" l="1"/>
  <c r="H77" i="3" s="1"/>
  <c r="E93" i="4"/>
  <c r="H75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H80" i="3" l="1"/>
  <c r="I80" i="3" s="1"/>
  <c r="F80" i="3" s="1"/>
  <c r="E80" i="3" s="1"/>
  <c r="F96" i="4"/>
  <c r="C35" i="2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F95" i="4"/>
  <c r="E82" i="3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<sst xmlns="http://schemas.openxmlformats.org/spreadsheetml/2006/main" count="391" uniqueCount="271">
  <si>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</si>
  <si>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</si>
  <si>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</si>
  <si>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</si>
  <si>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</si>
  <si>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</si>
  <si>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</si>
  <si>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</si>
  <si>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</si>
  <si>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</si>
  <si>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</si>
  <si>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</si>
  <si>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</si>
  <si>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</si>
  <si>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</si>
  <si>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</si>
  <si>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</si>
  <si>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</si>
  <si>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</si>
  <si>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</si>
  <si>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</si>
  <si>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</si>
  <si>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</si>
  <si>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</si>
  <si>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</si>
  <si>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</si>
  <si>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</si>
  <si>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</si>
  <si>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</si>
  <si>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</si>
  <si>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</si>
  <si>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</si>
  <si>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</si>
  <si>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</si>
  <si>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</si>
  <si>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</si>
  <si>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</si>
  <si>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</si>
  <si>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</si>
  <si>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</si>
  <si>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</si>
  <si>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</si>
  <si>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</si>
  <si>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</si>
  <si>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</si>
  <si>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</si>
  <si>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</si>
  <si>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</si>
  <si>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</si>
  <si>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</si>
  <si>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</si>
  <si>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</si>
  <si>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</si>
  <si>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</si>
  <si>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</si>
  <si>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</si>
  <si>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</si>
  <si>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</si>
  <si>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</si>
  <si>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</si>
  <si>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</si>
  <si>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</si>
  <si>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</si>
  <si>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</si>
  <si>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</si>
  <si>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</si>
  <si>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</si>
  <si>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</si>
  <si>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</si>
  <si>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</si>
  <si>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</si>
  <si>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</si>
  <si>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</si>
  <si>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</si>
  <si>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</si>
  <si>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</si>
  <si>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</si>
  <si>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</si>
  <si>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</si>
  <si>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</si>
  <si>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</si>
  <si>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</si>
  <si>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</si>
  <si>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</si>
  <si>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</si>
  <si>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</si>
  <si>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</si>
  <si>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</si>
  <si>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</si>
  <si>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</si>
  <si>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</si>
  <si>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</si>
  <si>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</si>
  <si>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</si>
  <si>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</si>
  <si>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</si>
  <si>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</si>
  <si>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</si>
  <si>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</si>
  <si>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</si>
  <si>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</si>
  <si>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</si>
  <si>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</si>
  <si>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</si>
  <si>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</si>
  <si>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</si>
  <si>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</si>
  <si>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</si>
  <si>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</si>
  <si>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</si>
  <si>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</si>
  <si>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</si>
  <si>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</si>
  <si>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</si>
  <si>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</si>
  <si>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</si>
  <si>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</si>
  <si>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</si>
  <si>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</si>
  <si>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</si>
  <si>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</si>
  <si>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</si>
  <si>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</si>
  <si>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</si>
  <si>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</si>
  <si>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</si>
  <si>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</si>
  <si>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</si>
  <si>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</si>
  <si>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</si>
  <si>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</si>
  <si>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</si>
  <si>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</si>
  <si>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</si>
  <si>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</si>
  <si>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</si>
  <si>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</si>
  <si>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</si>
  <si>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</si>
  <si>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</si>
  <si>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</si>
  <si>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</si>
  <si>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</si>
  <si>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</si>
  <si>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</si>
  <si>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</si>
  <si>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</si>
  <si>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</si>
  <si>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</si>
  <si>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</si>
  <si>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</si>
  <si>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</si>
  <si>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</si>
  <si>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</si>
  <si>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</si>
  <si>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</si>
  <si>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</si>
  <si>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</si>
  <si>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</si>
  <si>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</si>
  <si>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</si>
  <si>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</si>
  <si>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</si>
  <si>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</si>
  <si>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</si>
  <si>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</si>
  <si>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</si>
  <si>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</si>
  <si>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</si>
  <si>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</si>
  <si>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</si>
  <si>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</si>
  <si>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</si>
  <si>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</si>
  <si>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</si>
  <si>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</si>
  <si>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</si>
  <si>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</si>
  <si>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</si>
  <si>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</si>
  <si>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</si>
  <si>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</si>
  <si>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</si>
  <si>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</si>
  <si>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</si>
  <si>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</si>
  <si>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</si>
  <si>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</si>
  <si>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</si>
  <si>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</si>
  <si>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</si>
  <si>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</si>
  <si>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</si>
  <si>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</si>
  <si>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</si>
  <si>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</si>
  <si>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</si>
  <si>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</si>
  <si>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</si>
  <si>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</si>
  <si>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</si>
  <si>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</si>
  <si>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</si>
  <si>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</si>
  <si>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</si>
  <si>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</si>
  <si>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</si>
  <si>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</si>
  <si>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</si>
  <si>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</si>
  <si>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</si>
  <si>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</si>
  <si>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</si>
  <si>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</si>
  <si>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</si>
  <si>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</si>
  <si>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</si>
  <si>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</si>
  <si>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</si>
  <si>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</si>
  <si>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</si>
  <si>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</si>
  <si>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</si>
  <si>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</si>
  <si>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</si>
  <si>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</si>
  <si>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</si>
  <si>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</si>
  <si>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</si>
  <si>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</si>
  <si>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</si>
  <si>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</si>
  <si>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</si>
  <si>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</si>
  <si>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</si>
  <si>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</si>
  <si>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</si>
  <si>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</si>
  <si>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</si>
  <si>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</si>
  <si>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</si>
  <si>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</si>
  <si>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</si>
  <si>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</si>
  <si>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</si>
  <si>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</si>
  <si>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</si>
  <si>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</si>
  <si>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</si>
  <si>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</si>
  <si>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</si>
  <si>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</si>
  <si>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</si>
  <si>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</si>
  <si>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</si>
  <si>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</si>
  <si>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</si>
  <si>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</si>
  <si>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</si>
  <si>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</si>
  <si>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</si>
  <si>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</si>
  <si>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</si>
  <si>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</si>
  <si>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0564.HK</t>
  </si>
  <si>
    <t>鄭煤機</t>
  </si>
  <si>
    <t>C0006</t>
  </si>
  <si>
    <t>CNY</t>
  </si>
  <si>
    <t>HKD</t>
    <phoneticPr fontId="20" type="noConversion"/>
  </si>
  <si>
    <t>Tier 3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</si>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</sst>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0.79500000000000004</c:v>
                </c:pt>
                <c:pt idx="1">
                  <c:v>0.10773556748225227</c:v>
                </c:pt>
                <c:pt idx="2">
                  <c:v>7.3308514744086254E-3</c:v>
                </c:pt>
                <c:pt idx="3">
                  <c:v>1.1105657937696694E-2</c:v>
                </c:pt>
                <c:pt idx="4">
                  <c:v>1.0669041048412063E-2</c:v>
                </c:pt>
                <c:pt idx="5">
                  <c:v>1.0979200200663114E-2</c:v>
                </c:pt>
                <c:pt idx="6">
                  <c:v>5.7179681856567195E-2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zoomScaleNormal="100" workbookViewId="0">
      <selection activeCell="F91" sqref="F91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45634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269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1785399930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36423236</v>
      </c>
      <c r="D25" s="149">
        <v>32043306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28575291</v>
      </c>
      <c r="D26" s="150">
        <v>25644599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1156268+1199587</f>
        <v>2355855</v>
      </c>
      <c r="D27" s="150">
        <f>831593+1072973</f>
        <v>1904566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1568223</v>
      </c>
      <c r="D28" s="150">
        <v>1385962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388601</v>
      </c>
      <c r="D29" s="150">
        <v>265410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200260</v>
      </c>
      <c r="D30" s="150">
        <v>89770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5396777-4992273</f>
        <v>404504</v>
      </c>
      <c r="D31" s="150">
        <f>4505286-2928945</f>
        <v>1576341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f>694647+21399+252318+162011</f>
        <v>1130375</v>
      </c>
      <c r="D32" s="150">
        <f>582889+18815+190402+152526</f>
        <v>944632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f>1431077+99196</f>
        <v>1530273</v>
      </c>
      <c r="D33" s="150">
        <f>1300700+112152</f>
        <v>1412852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0.84</v>
      </c>
      <c r="D44" s="250">
        <v>0.56000000000000005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8.7693158646076047E-2</v>
      </c>
      <c r="D45" s="152">
        <f>IF(D44="","",D44*Exchange_Rate/Dashboard!$G$3)</f>
        <v>5.8462105764050712E-2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f>1945896+4729233</f>
        <v>6675129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f>21825+216230+10353472+198861</f>
        <v>10790388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f>5944162+3848095</f>
        <v>9792257</v>
      </c>
      <c r="D51" s="60">
        <v>0.6</v>
      </c>
      <c r="E51" s="112"/>
    </row>
    <row r="52" spans="2:5" ht="13.9" x14ac:dyDescent="0.4">
      <c r="B52" s="3" t="s">
        <v>43</v>
      </c>
      <c r="C52" s="59">
        <v>91072</v>
      </c>
      <c r="D52" s="60">
        <v>0.5</v>
      </c>
      <c r="E52" s="112"/>
    </row>
    <row r="53" spans="2:5" ht="13.9" x14ac:dyDescent="0.4">
      <c r="B53" s="1" t="s">
        <v>158</v>
      </c>
      <c r="C53" s="59">
        <v>33867</v>
      </c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>
        <v>9296608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31969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1468712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f>6872+408159</f>
        <v>415031</v>
      </c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>
        <f>78998+213498</f>
        <v>292496</v>
      </c>
      <c r="D64" s="60">
        <v>0.4</v>
      </c>
      <c r="E64" s="112"/>
    </row>
    <row r="65" spans="2:5" ht="13.9" x14ac:dyDescent="0.4">
      <c r="B65" s="3" t="s">
        <v>69</v>
      </c>
      <c r="C65" s="59">
        <f>677520+99664</f>
        <v>777184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314605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6295147+1828283</f>
        <v>8123430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813309</v>
      </c>
      <c r="D70" s="60">
        <v>0.05</v>
      </c>
      <c r="E70" s="112"/>
    </row>
    <row r="71" spans="2:5" ht="13.9" x14ac:dyDescent="0.4">
      <c r="B71" s="3" t="s">
        <v>74</v>
      </c>
      <c r="C71" s="59">
        <v>382679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88283</v>
      </c>
      <c r="D72" s="248">
        <v>0</v>
      </c>
      <c r="E72" s="249"/>
    </row>
    <row r="73" spans="2:5" ht="13.9" x14ac:dyDescent="0.4">
      <c r="B73" s="3" t="s">
        <v>38</v>
      </c>
      <c r="C73" s="59">
        <v>1143514</v>
      </c>
    </row>
    <row r="74" spans="2:5" ht="13.9" x14ac:dyDescent="0.4">
      <c r="B74" s="3" t="s">
        <v>39</v>
      </c>
      <c r="C74" s="59">
        <v>145305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19380410</v>
      </c>
    </row>
    <row r="78" spans="2:5" ht="14.25" thickTop="1" x14ac:dyDescent="0.4">
      <c r="B78" s="3" t="s">
        <v>61</v>
      </c>
      <c r="C78" s="59">
        <v>6159723</v>
      </c>
    </row>
    <row r="79" spans="2:5" ht="13.9" x14ac:dyDescent="0.4">
      <c r="B79" s="3" t="s">
        <v>63</v>
      </c>
      <c r="C79" s="59">
        <v>1202523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8125280</v>
      </c>
    </row>
    <row r="83" spans="2:8" ht="14.25" thickTop="1" x14ac:dyDescent="0.4">
      <c r="B83" s="73" t="s">
        <v>220</v>
      </c>
      <c r="C83" s="59">
        <v>20378212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36423236</v>
      </c>
      <c r="D91" s="209"/>
      <c r="E91" s="251">
        <f>C91</f>
        <v>36423236</v>
      </c>
      <c r="F91" s="251">
        <f>C91</f>
        <v>36423236</v>
      </c>
    </row>
    <row r="92" spans="2:8" ht="13.9" x14ac:dyDescent="0.4">
      <c r="B92" s="104" t="s">
        <v>105</v>
      </c>
      <c r="C92" s="77">
        <f>C26</f>
        <v>28575291</v>
      </c>
      <c r="D92" s="159">
        <f>C92/C91</f>
        <v>0.78453465804081768</v>
      </c>
      <c r="E92" s="252">
        <f>E91*80%</f>
        <v>29138588.800000001</v>
      </c>
      <c r="F92" s="252">
        <f>F91*79.5%</f>
        <v>28956472.620000001</v>
      </c>
    </row>
    <row r="93" spans="2:8" ht="13.9" x14ac:dyDescent="0.4">
      <c r="B93" s="104" t="s">
        <v>247</v>
      </c>
      <c r="C93" s="77">
        <f>C27+C28</f>
        <v>3924078</v>
      </c>
      <c r="D93" s="159">
        <f>C93/C91</f>
        <v>0.10773556748225227</v>
      </c>
      <c r="E93" s="252">
        <f>E91*D93</f>
        <v>3924078.0000000005</v>
      </c>
      <c r="F93" s="252">
        <f>F91*D93</f>
        <v>3924078.0000000005</v>
      </c>
    </row>
    <row r="94" spans="2:8" ht="13.9" x14ac:dyDescent="0.4">
      <c r="B94" s="104" t="s">
        <v>257</v>
      </c>
      <c r="C94" s="77">
        <f>C29</f>
        <v>388601</v>
      </c>
      <c r="D94" s="159">
        <f>C94/C91</f>
        <v>1.0669041048412063E-2</v>
      </c>
      <c r="E94" s="253"/>
      <c r="F94" s="252">
        <f>F91*D94</f>
        <v>388601</v>
      </c>
    </row>
    <row r="95" spans="2:8" ht="13.9" x14ac:dyDescent="0.4">
      <c r="B95" s="28" t="s">
        <v>246</v>
      </c>
      <c r="C95" s="77">
        <f>ABS(MAX(C33,0)-C32)</f>
        <v>399898</v>
      </c>
      <c r="D95" s="159">
        <f>C95/C91</f>
        <v>1.0979200200663114E-2</v>
      </c>
      <c r="E95" s="252">
        <f>E91*D95</f>
        <v>399897.99999999994</v>
      </c>
      <c r="F95" s="252">
        <f>F91*D95</f>
        <v>399897.99999999994</v>
      </c>
    </row>
    <row r="96" spans="2:8" ht="13.9" x14ac:dyDescent="0.4">
      <c r="B96" s="28" t="s">
        <v>109</v>
      </c>
      <c r="C96" s="77">
        <f>MAX(C31,0)</f>
        <v>404504</v>
      </c>
      <c r="D96" s="159">
        <f>C96/C91</f>
        <v>1.1105657937696694E-2</v>
      </c>
      <c r="E96" s="253"/>
      <c r="F96" s="252">
        <f>F91*D96</f>
        <v>404504</v>
      </c>
    </row>
    <row r="97" spans="2:7" ht="13.9" x14ac:dyDescent="0.4">
      <c r="B97" s="73" t="s">
        <v>172</v>
      </c>
      <c r="C97" s="77">
        <f>MAX(C30,0)/(1-C16)</f>
        <v>267013.33333333331</v>
      </c>
      <c r="D97" s="159">
        <f>C97/C91</f>
        <v>7.3308514744086254E-3</v>
      </c>
      <c r="E97" s="253"/>
      <c r="F97" s="252">
        <f>F91*D97</f>
        <v>267013.33333333331</v>
      </c>
    </row>
    <row r="98" spans="2:7" ht="13.9" x14ac:dyDescent="0.4">
      <c r="B98" s="86" t="s">
        <v>207</v>
      </c>
      <c r="C98" s="237">
        <f>C44</f>
        <v>0.84</v>
      </c>
      <c r="D98" s="266"/>
      <c r="E98" s="254">
        <f>D44</f>
        <v>0.56000000000000005</v>
      </c>
      <c r="F98" s="254">
        <f>C98</f>
        <v>0.84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4" sqref="C4:D4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0564.HK : 鄭煤機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0564.HK</v>
      </c>
      <c r="D3" s="278"/>
      <c r="E3" s="87"/>
      <c r="F3" s="3" t="s">
        <v>1</v>
      </c>
      <c r="G3" s="132">
        <v>10.26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鄭煤機</v>
      </c>
      <c r="D4" s="280"/>
      <c r="E4" s="87"/>
      <c r="F4" s="3" t="s">
        <v>2</v>
      </c>
      <c r="G4" s="283">
        <f>Inputs!C10</f>
        <v>1785399930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45634</v>
      </c>
      <c r="D5" s="282"/>
      <c r="E5" s="34"/>
      <c r="F5" s="35" t="s">
        <v>99</v>
      </c>
      <c r="G5" s="275">
        <f>G3*G4/1000000</f>
        <v>18318.203281800001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C0006</v>
      </c>
      <c r="E7" s="87"/>
      <c r="F7" s="35" t="s">
        <v>5</v>
      </c>
      <c r="G7" s="133">
        <v>1.0711092948913574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0.79500000000000004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0.10773556748225227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7.3308514744086254E-3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1.1105657937696694E-2</v>
      </c>
      <c r="F23" s="140" t="s">
        <v>188</v>
      </c>
      <c r="G23" s="177">
        <f>G3/(Data!C36*Data!C4/Common_Shares*Exchange_Rate)</f>
        <v>0.78158351372649748</v>
      </c>
    </row>
    <row r="24" spans="1:8" ht="15.75" customHeight="1" x14ac:dyDescent="0.4">
      <c r="B24" s="137" t="s">
        <v>170</v>
      </c>
      <c r="C24" s="171">
        <f>Fin_Analysis!I81</f>
        <v>1.0669041048412063E-2</v>
      </c>
      <c r="F24" s="140" t="s">
        <v>260</v>
      </c>
      <c r="G24" s="268">
        <f>G3/(Fin_Analysis!H86*G7)</f>
        <v>10.948826159520374</v>
      </c>
    </row>
    <row r="25" spans="1:8" ht="15.75" customHeight="1" x14ac:dyDescent="0.4">
      <c r="B25" s="137" t="s">
        <v>243</v>
      </c>
      <c r="C25" s="171">
        <f>Fin_Analysis!I82</f>
        <v>1.0979200200663114E-2</v>
      </c>
      <c r="F25" s="140" t="s">
        <v>174</v>
      </c>
      <c r="G25" s="171">
        <f>Fin_Analysis!I88</f>
        <v>0.96013714939512762</v>
      </c>
    </row>
    <row r="26" spans="1:8" ht="15.75" customHeight="1" x14ac:dyDescent="0.4">
      <c r="B26" s="138" t="s">
        <v>173</v>
      </c>
      <c r="C26" s="171">
        <f>Fin_Analysis!I83</f>
        <v>5.7179681856567195E-2</v>
      </c>
      <c r="F26" s="141" t="s">
        <v>193</v>
      </c>
      <c r="G26" s="178">
        <f>Fin_Analysis!H88*Exchange_Rate/G3</f>
        <v>8.7693158646076047E-2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7.6527658011245716</v>
      </c>
      <c r="D29" s="129">
        <f>G29*(1+G20)</f>
        <v>17.68285486539909</v>
      </c>
      <c r="E29" s="87"/>
      <c r="F29" s="131">
        <f>IF(Fin_Analysis!C108="Profit",Fin_Analysis!F100,IF(Fin_Analysis!C108="Dividend",Fin_Analysis!F103,Fin_Analysis!F106))</f>
        <v>9.6023652192774094</v>
      </c>
      <c r="G29" s="274">
        <f>IF(Fin_Analysis!C108="Profit",Fin_Analysis!I100,IF(Fin_Analysis!C108="Dividend",Fin_Analysis!I103,Fin_Analysis!I106))</f>
        <v>15.376395535129646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19" zoomScaleNormal="100" workbookViewId="0">
      <pane xSplit="2" topLeftCell="C1" activePane="topRight" state="frozen"/>
      <selection activeCell="A4" sqref="A4"/>
      <selection pane="topRight" activeCell="D44" sqref="D4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3656853.6666666665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36423236</v>
      </c>
      <c r="D6" s="200">
        <f>IF(Inputs!D25="","",Inputs!D25)</f>
        <v>32043306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0.13668783114950744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28575291</v>
      </c>
      <c r="D8" s="199">
        <f>IF(Inputs!D26="","",Inputs!D26)</f>
        <v>25644599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7847945</v>
      </c>
      <c r="D9" s="151">
        <f t="shared" si="2"/>
        <v>6398707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2355855</v>
      </c>
      <c r="D10" s="199">
        <f>IF(Inputs!D27="","",Inputs!D27)</f>
        <v>1904566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1568223</v>
      </c>
      <c r="D11" s="199">
        <f>IF(Inputs!D28="","",Inputs!D28)</f>
        <v>1385962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267013.33333333331</v>
      </c>
      <c r="D12" s="199">
        <f>IF(Inputs!D30="","",MAX(Inputs!D30,0)/(1-Fin_Analysis!$I$84))</f>
        <v>119693.33333333333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0.10039892300252143</v>
      </c>
      <c r="D13" s="229">
        <f t="shared" si="3"/>
        <v>9.3263961798032535E-2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3656853.6666666665</v>
      </c>
      <c r="D14" s="230">
        <f t="shared" ref="D14:M14" si="4">IF(D6="","",D9-D10-MAX(D11,0)-MAX(D12,0))</f>
        <v>2988485.6666666665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0.2236477181252445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404504</v>
      </c>
      <c r="D16" s="199">
        <f>IF(Inputs!D31="","",Inputs!D31)</f>
        <v>1576341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388601</v>
      </c>
      <c r="D17" s="199">
        <f>IF(Inputs!D29="","",Inputs!D29)</f>
        <v>265410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3.103444735113596E-2</v>
      </c>
      <c r="D18" s="152">
        <f t="shared" si="6"/>
        <v>2.9479854544346953E-2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1130375</v>
      </c>
      <c r="D19" s="199">
        <f>IF(Inputs!D32="","",Inputs!D32)</f>
        <v>944632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4.201364755179908E-2</v>
      </c>
      <c r="D20" s="152">
        <f t="shared" si="7"/>
        <v>4.4091954806411052E-2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1530273</v>
      </c>
      <c r="D21" s="199">
        <f>IF(Inputs!D33="","",Inputs!D33)</f>
        <v>1412852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2463850.6666666665</v>
      </c>
      <c r="D22" s="161">
        <f t="shared" ref="D22:M22" si="8">IF(D6="","",D14-MAX(D16,0)-MAX(D17,0)-ABS(MAX(D21,0)-MAX(D19,0)))</f>
        <v>678514.66666666651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5.0733767861812169E-2</v>
      </c>
      <c r="D23" s="153">
        <f t="shared" si="9"/>
        <v>1.588119527991275E-2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1847888</v>
      </c>
      <c r="D24" s="77">
        <f>IF(D6="","",D22*(1-Fin_Analysis!$I$84))</f>
        <v>508885.99999999988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2.6312415747338309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49387019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36711290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10790388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9296608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19380410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8125280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1288819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7362246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8651065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21881329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1503117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19533990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29853029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0.12249523043931879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0.78453465804081768</v>
      </c>
      <c r="D42" s="156">
        <f t="shared" si="34"/>
        <v>0.80031064834571064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0.10773556748225227</v>
      </c>
      <c r="D43" s="153">
        <f t="shared" si="35"/>
        <v>0.10269002830107481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1.1105657937696694E-2</v>
      </c>
      <c r="D44" s="153">
        <f t="shared" si="36"/>
        <v>4.9194081284871169E-2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1.0669041048412063E-2</v>
      </c>
      <c r="D45" s="153">
        <f t="shared" si="37"/>
        <v>8.2828532112136002E-3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7.3308514744086254E-3</v>
      </c>
      <c r="D46" s="153">
        <f t="shared" ref="D46:M46" si="38">IF(D6="","",MAX(D12,0)/D6)</f>
        <v>3.7353615551820193E-3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1.0979200200663114E-2</v>
      </c>
      <c r="D47" s="153">
        <f t="shared" ref="D47:M47" si="39">IF(D6="","",ABS(MAX(D21,0)-MAX(D19,0))/D6)</f>
        <v>1.4612100262064096E-2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6.764502381574955E-2</v>
      </c>
      <c r="D48" s="153">
        <f t="shared" si="40"/>
        <v>2.1174927039883665E-2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0.29625011901743165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0.25523838683635908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0.55694169352477019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0.28480316199990019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0.1577210036539011</v>
      </c>
      <c r="D55" s="153">
        <f t="shared" si="45"/>
        <v>0.39116324677825692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1.8942473353246914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1" zoomScaleNormal="100" workbookViewId="0">
      <selection activeCell="F79" sqref="F7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21881329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20378212</v>
      </c>
      <c r="K3" s="24"/>
    </row>
    <row r="4" spans="1:11" ht="15" customHeight="1" x14ac:dyDescent="0.4">
      <c r="B4" s="3" t="s">
        <v>24</v>
      </c>
      <c r="C4" s="87"/>
      <c r="D4" s="65">
        <f>D3-I3</f>
        <v>1503117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1.8942473353246914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-4503581.4819747666</v>
      </c>
      <c r="E6" s="56">
        <f>1-D6/D3</f>
        <v>1.2058184620310204</v>
      </c>
      <c r="F6" s="87"/>
      <c r="G6" s="87"/>
      <c r="H6" s="1" t="s">
        <v>29</v>
      </c>
      <c r="I6" s="63">
        <f>(C24+C25)/I28</f>
        <v>1.4129067960894532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1.4064601316484016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6675129</v>
      </c>
      <c r="D11" s="198">
        <f>Inputs!D48</f>
        <v>0.9</v>
      </c>
      <c r="E11" s="88">
        <f t="shared" ref="E11:E22" si="0">C11*D11</f>
        <v>6007616.1000000006</v>
      </c>
      <c r="F11" s="112"/>
      <c r="G11" s="87"/>
      <c r="H11" s="3" t="s">
        <v>38</v>
      </c>
      <c r="I11" s="40">
        <f>Inputs!C73</f>
        <v>1143514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145305</v>
      </c>
      <c r="J12" s="87"/>
      <c r="K12" s="24"/>
    </row>
    <row r="13" spans="1:11" ht="13.9" x14ac:dyDescent="0.4">
      <c r="B13" s="3" t="s">
        <v>116</v>
      </c>
      <c r="C13" s="40">
        <f>Inputs!C50</f>
        <v>10790388</v>
      </c>
      <c r="D13" s="198">
        <f>Inputs!D50</f>
        <v>0.6</v>
      </c>
      <c r="E13" s="88">
        <f t="shared" si="0"/>
        <v>6474232.7999999998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9792257</v>
      </c>
      <c r="D14" s="198">
        <f>Inputs!D51</f>
        <v>0.6</v>
      </c>
      <c r="E14" s="88">
        <f t="shared" si="0"/>
        <v>5875354.2000000002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91072</v>
      </c>
      <c r="D15" s="198">
        <f>Inputs!D52</f>
        <v>0.5</v>
      </c>
      <c r="E15" s="88">
        <f t="shared" si="0"/>
        <v>45536</v>
      </c>
      <c r="F15" s="112"/>
      <c r="G15" s="87"/>
      <c r="H15" s="1" t="s">
        <v>53</v>
      </c>
      <c r="I15" s="84">
        <f>SUM(I11:I14)</f>
        <v>1288819</v>
      </c>
      <c r="J15" s="87"/>
    </row>
    <row r="16" spans="1:11" ht="13.9" x14ac:dyDescent="0.4">
      <c r="B16" s="1" t="s">
        <v>158</v>
      </c>
      <c r="C16" s="40">
        <f>Inputs!C53</f>
        <v>33867</v>
      </c>
      <c r="D16" s="198">
        <f>Inputs!D53</f>
        <v>0.6</v>
      </c>
      <c r="E16" s="88">
        <f t="shared" si="0"/>
        <v>20320.2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9296608</v>
      </c>
      <c r="D18" s="198">
        <f>Inputs!D55</f>
        <v>0.5</v>
      </c>
      <c r="E18" s="88">
        <f t="shared" si="0"/>
        <v>4648304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31969</v>
      </c>
      <c r="D21" s="198">
        <f>Inputs!D58</f>
        <v>0.9</v>
      </c>
      <c r="E21" s="88">
        <f t="shared" si="0"/>
        <v>28772.100000000002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18091591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27257774</v>
      </c>
      <c r="D24" s="62">
        <f>IF(E24=0,0,E24/C24)</f>
        <v>0.67346669981195095</v>
      </c>
      <c r="E24" s="88">
        <f>SUM(E11:E14)</f>
        <v>18357203.100000001</v>
      </c>
      <c r="F24" s="113">
        <f>E24/$E$28</f>
        <v>0.79467945889182967</v>
      </c>
      <c r="G24" s="87"/>
    </row>
    <row r="25" spans="2:10" ht="15" customHeight="1" x14ac:dyDescent="0.4">
      <c r="B25" s="23" t="s">
        <v>54</v>
      </c>
      <c r="C25" s="61">
        <f>SUM(C15:C17)</f>
        <v>124939</v>
      </c>
      <c r="D25" s="62">
        <f>IF(E25=0,0,E25/C25)</f>
        <v>0.5271068281321285</v>
      </c>
      <c r="E25" s="88">
        <f>SUM(E15:E17)</f>
        <v>65856.2</v>
      </c>
      <c r="F25" s="113">
        <f>E25/$E$28</f>
        <v>2.8509010384415319E-3</v>
      </c>
      <c r="G25" s="87"/>
      <c r="H25" s="23" t="s">
        <v>55</v>
      </c>
      <c r="I25" s="63">
        <f>E28/I28</f>
        <v>1.1919322346637662</v>
      </c>
    </row>
    <row r="26" spans="2:10" ht="15" customHeight="1" x14ac:dyDescent="0.4">
      <c r="B26" s="23" t="s">
        <v>56</v>
      </c>
      <c r="C26" s="61">
        <f>C18+C19+C20</f>
        <v>9296608</v>
      </c>
      <c r="D26" s="62">
        <f>IF(E26=0,0,E26/C26)</f>
        <v>0.5</v>
      </c>
      <c r="E26" s="88">
        <f>E18+E19+E20</f>
        <v>4648304</v>
      </c>
      <c r="F26" s="113">
        <f>E26/$E$28</f>
        <v>0.20122410191587015</v>
      </c>
      <c r="G26" s="87"/>
      <c r="H26" s="23" t="s">
        <v>57</v>
      </c>
      <c r="I26" s="63">
        <f>E24/($I$28-I22)</f>
        <v>14.243429915294547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31969</v>
      </c>
      <c r="D27" s="62">
        <f>IF(E27=0,0,E27/C27)</f>
        <v>0.9</v>
      </c>
      <c r="E27" s="88">
        <f>E21+E22</f>
        <v>28772.100000000002</v>
      </c>
      <c r="F27" s="113">
        <f>E27/$E$28</f>
        <v>1.2455381538586134E-3</v>
      </c>
      <c r="G27" s="87"/>
      <c r="H27" s="23" t="s">
        <v>59</v>
      </c>
      <c r="I27" s="63">
        <f>(E25+E24)/$I$28</f>
        <v>0.95060214412388599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36711290</v>
      </c>
      <c r="D28" s="57">
        <f>E28/C28</f>
        <v>0.62923791019057085</v>
      </c>
      <c r="E28" s="70">
        <f>SUM(E24:E27)</f>
        <v>23100135.400000002</v>
      </c>
      <c r="F28" s="112"/>
      <c r="G28" s="87"/>
      <c r="H28" s="78" t="s">
        <v>15</v>
      </c>
      <c r="I28" s="206">
        <f>Inputs!C77</f>
        <v>19380410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1468712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6159723</v>
      </c>
      <c r="J30" s="87"/>
    </row>
    <row r="31" spans="2:10" ht="15" customHeight="1" x14ac:dyDescent="0.4">
      <c r="B31" s="3" t="s">
        <v>62</v>
      </c>
      <c r="C31" s="40">
        <f>Inputs!C61</f>
        <v>415031</v>
      </c>
      <c r="D31" s="198">
        <f>Inputs!D61</f>
        <v>0.6</v>
      </c>
      <c r="E31" s="88">
        <f t="shared" ref="E31:E42" si="1">C31*D31</f>
        <v>249018.59999999998</v>
      </c>
      <c r="F31" s="112"/>
      <c r="G31" s="87"/>
      <c r="H31" s="3" t="s">
        <v>63</v>
      </c>
      <c r="I31" s="40">
        <f>Inputs!C79</f>
        <v>1202523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292496</v>
      </c>
      <c r="D34" s="198">
        <f>Inputs!D64</f>
        <v>0.4</v>
      </c>
      <c r="E34" s="88">
        <f t="shared" si="1"/>
        <v>116998.40000000001</v>
      </c>
      <c r="F34" s="112"/>
      <c r="G34" s="87"/>
      <c r="H34" s="1" t="s">
        <v>77</v>
      </c>
      <c r="I34" s="84">
        <f>SUM(I30:I33)</f>
        <v>7362246</v>
      </c>
      <c r="J34" s="87"/>
    </row>
    <row r="35" spans="2:10" ht="13.9" x14ac:dyDescent="0.4">
      <c r="B35" s="3" t="s">
        <v>69</v>
      </c>
      <c r="C35" s="40">
        <f>Inputs!C65</f>
        <v>777184</v>
      </c>
      <c r="D35" s="198">
        <f>Inputs!D65</f>
        <v>0.1</v>
      </c>
      <c r="E35" s="88">
        <f t="shared" si="1"/>
        <v>77718.400000000009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314605</v>
      </c>
      <c r="D36" s="198">
        <f>Inputs!D66</f>
        <v>0.2</v>
      </c>
      <c r="E36" s="88">
        <f t="shared" si="1"/>
        <v>62921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8123430</v>
      </c>
      <c r="D38" s="198">
        <f>Inputs!D68</f>
        <v>0.1</v>
      </c>
      <c r="E38" s="88">
        <f t="shared" si="1"/>
        <v>812343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813309</v>
      </c>
      <c r="D40" s="198">
        <f>Inputs!D70</f>
        <v>0.05</v>
      </c>
      <c r="E40" s="88">
        <f t="shared" si="1"/>
        <v>40665.450000000004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382679</v>
      </c>
      <c r="D41" s="198">
        <f>Inputs!D71</f>
        <v>0.9</v>
      </c>
      <c r="E41" s="88">
        <f t="shared" si="1"/>
        <v>344411.10000000003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88283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763034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1883743</v>
      </c>
      <c r="D44" s="62">
        <f>IF(E44=0,0,E44/C44)</f>
        <v>0.13219351047356245</v>
      </c>
      <c r="E44" s="88">
        <f>SUM(E30:E31)</f>
        <v>249018.59999999998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1069680</v>
      </c>
      <c r="D45" s="62">
        <f>IF(E45=0,0,E45/C45)</f>
        <v>0.18203275746017503</v>
      </c>
      <c r="E45" s="88">
        <f>SUM(E32:E35)</f>
        <v>194716.80000000002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8438035</v>
      </c>
      <c r="D46" s="62">
        <f>IF(E46=0,0,E46/C46)</f>
        <v>0.1037284154426949</v>
      </c>
      <c r="E46" s="88">
        <f>E36+E37+E38+E39</f>
        <v>875264</v>
      </c>
      <c r="F46" s="87"/>
      <c r="G46" s="87"/>
      <c r="H46" s="23" t="s">
        <v>80</v>
      </c>
      <c r="I46" s="63">
        <f>(E44+E24)/E64</f>
        <v>2.1507434864955939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1284271</v>
      </c>
      <c r="D47" s="62">
        <f>IF(E47=0,0,E47/C47)</f>
        <v>0.29984057103212641</v>
      </c>
      <c r="E47" s="88">
        <f>E40+E41+E42</f>
        <v>385076.55000000005</v>
      </c>
      <c r="F47" s="87"/>
      <c r="G47" s="87"/>
      <c r="H47" s="23" t="s">
        <v>82</v>
      </c>
      <c r="I47" s="63">
        <f>(E44+E45+E24+E25)/$I$49</f>
        <v>0.68592333804387384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12675729</v>
      </c>
      <c r="D48" s="82">
        <f>E48/C48</f>
        <v>0.13443612986677136</v>
      </c>
      <c r="E48" s="76">
        <f>SUM(E30:E42)</f>
        <v>1704075.95</v>
      </c>
      <c r="F48" s="87"/>
      <c r="G48" s="87"/>
      <c r="H48" s="80" t="s">
        <v>84</v>
      </c>
      <c r="I48" s="207">
        <f>Inputs!C82</f>
        <v>8125280</v>
      </c>
      <c r="J48" s="8"/>
    </row>
    <row r="49" spans="2:11" ht="15" customHeight="1" thickTop="1" x14ac:dyDescent="0.4">
      <c r="B49" s="3" t="s">
        <v>13</v>
      </c>
      <c r="C49" s="61">
        <f>C28+C48</f>
        <v>49387019</v>
      </c>
      <c r="D49" s="56">
        <f>E49/C49</f>
        <v>0.50224151714846366</v>
      </c>
      <c r="E49" s="88">
        <f>E28+E48</f>
        <v>24804211.350000001</v>
      </c>
      <c r="F49" s="87"/>
      <c r="G49" s="87"/>
      <c r="H49" s="3" t="s">
        <v>85</v>
      </c>
      <c r="I49" s="52">
        <f>I28+I48</f>
        <v>27505690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1503117</v>
      </c>
      <c r="D53" s="29">
        <f>IF(E53=0, 0,E53/C53)</f>
        <v>1</v>
      </c>
      <c r="E53" s="88">
        <f>IF(C53=0,0,MAX(C53,C53*Dashboard!G23))</f>
        <v>1503117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8651065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11390149</v>
      </c>
      <c r="D61" s="56">
        <f t="shared" ref="D61:D70" si="2">IF(E61=0,0,E61/C61)</f>
        <v>0.55403561445947724</v>
      </c>
      <c r="E61" s="52">
        <f>E14+E15+(E19*G19)+(E20*G20)+E31+E32+(E35*G35)+(E36*G36)+(E37*G37)</f>
        <v>6310548.2000000002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8143841</v>
      </c>
      <c r="D62" s="107">
        <f t="shared" si="2"/>
        <v>0.73768828492599503</v>
      </c>
      <c r="E62" s="118">
        <f>E11+E30</f>
        <v>6007616.1000000006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19533990</v>
      </c>
      <c r="D63" s="29">
        <f t="shared" si="2"/>
        <v>0.63060154633026844</v>
      </c>
      <c r="E63" s="61">
        <f>E61+E62</f>
        <v>12318164.300000001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8651065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10882925</v>
      </c>
      <c r="D65" s="29">
        <f t="shared" si="2"/>
        <v>0.3369589793185197</v>
      </c>
      <c r="E65" s="61">
        <f>E63-E64</f>
        <v>3667099.3000000007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29853029</v>
      </c>
      <c r="D68" s="29">
        <f t="shared" si="2"/>
        <v>0.41825059192485964</v>
      </c>
      <c r="E68" s="68">
        <f>E49-E63</f>
        <v>12486047.050000001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18854625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10998404</v>
      </c>
      <c r="D70" s="29">
        <f t="shared" si="2"/>
        <v>-0.5790456460773763</v>
      </c>
      <c r="E70" s="68">
        <f>E68-E69</f>
        <v>-6368577.9499999993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36423236</v>
      </c>
      <c r="D74" s="209"/>
      <c r="E74" s="238">
        <f>Inputs!E91</f>
        <v>36423236</v>
      </c>
      <c r="F74" s="209"/>
      <c r="H74" s="238">
        <f>Inputs!F91</f>
        <v>36423236</v>
      </c>
      <c r="I74" s="209"/>
      <c r="K74" s="24"/>
    </row>
    <row r="75" spans="1:11" ht="15" customHeight="1" x14ac:dyDescent="0.4">
      <c r="B75" s="104" t="s">
        <v>105</v>
      </c>
      <c r="C75" s="77">
        <f>Data!C8</f>
        <v>28575291</v>
      </c>
      <c r="D75" s="159">
        <f>C75/$C$74</f>
        <v>0.78453465804081768</v>
      </c>
      <c r="E75" s="238">
        <f>Inputs!E92</f>
        <v>29138588.800000001</v>
      </c>
      <c r="F75" s="160">
        <f>E75/E74</f>
        <v>0.8</v>
      </c>
      <c r="H75" s="238">
        <f>Inputs!F92</f>
        <v>28956472.620000001</v>
      </c>
      <c r="I75" s="160">
        <f>H75/$H$74</f>
        <v>0.79500000000000004</v>
      </c>
      <c r="K75" s="24"/>
    </row>
    <row r="76" spans="1:11" ht="15" customHeight="1" x14ac:dyDescent="0.4">
      <c r="B76" s="35" t="s">
        <v>95</v>
      </c>
      <c r="C76" s="161">
        <f>C74-C75</f>
        <v>7847945</v>
      </c>
      <c r="D76" s="210"/>
      <c r="E76" s="162">
        <f>E74-E75</f>
        <v>7284647.1999999993</v>
      </c>
      <c r="F76" s="210"/>
      <c r="H76" s="162">
        <f>H74-H75</f>
        <v>7466763.379999999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3924078</v>
      </c>
      <c r="D77" s="159">
        <f>C77/$C$74</f>
        <v>0.10773556748225227</v>
      </c>
      <c r="E77" s="238">
        <f>Inputs!E93</f>
        <v>3924078.0000000005</v>
      </c>
      <c r="F77" s="160">
        <f>E77/E74</f>
        <v>0.10773556748225227</v>
      </c>
      <c r="H77" s="238">
        <f>Inputs!F93</f>
        <v>3924078.0000000005</v>
      </c>
      <c r="I77" s="160">
        <f>H77/$H$74</f>
        <v>0.10773556748225227</v>
      </c>
      <c r="K77" s="24"/>
    </row>
    <row r="78" spans="1:11" ht="15" customHeight="1" x14ac:dyDescent="0.4">
      <c r="B78" s="73" t="s">
        <v>172</v>
      </c>
      <c r="C78" s="77">
        <f>MAX(Data!C12,0)</f>
        <v>267013.33333333331</v>
      </c>
      <c r="D78" s="159">
        <f>C78/$C$74</f>
        <v>7.3308514744086254E-3</v>
      </c>
      <c r="E78" s="180">
        <f>E74*F78</f>
        <v>267013.33333333331</v>
      </c>
      <c r="F78" s="160">
        <f>I78</f>
        <v>7.3308514744086254E-3</v>
      </c>
      <c r="H78" s="238">
        <f>Inputs!F97</f>
        <v>267013.33333333331</v>
      </c>
      <c r="I78" s="160">
        <f>H78/$H$74</f>
        <v>7.3308514744086254E-3</v>
      </c>
      <c r="K78" s="24"/>
    </row>
    <row r="79" spans="1:11" ht="15" customHeight="1" x14ac:dyDescent="0.4">
      <c r="B79" s="256" t="s">
        <v>232</v>
      </c>
      <c r="C79" s="257">
        <f>C76-C77-C78</f>
        <v>3656853.6666666665</v>
      </c>
      <c r="D79" s="258">
        <f>C79/C74</f>
        <v>0.10039892300252143</v>
      </c>
      <c r="E79" s="259">
        <f>E76-E77-E78</f>
        <v>3093555.8666666653</v>
      </c>
      <c r="F79" s="258">
        <f>E79/E74</f>
        <v>8.4933581043339076E-2</v>
      </c>
      <c r="G79" s="260"/>
      <c r="H79" s="259">
        <f>H76-H77-H78</f>
        <v>3275672.046666665</v>
      </c>
      <c r="I79" s="258">
        <f>H79/H74</f>
        <v>8.9933581043339067E-2</v>
      </c>
      <c r="K79" s="24"/>
    </row>
    <row r="80" spans="1:11" ht="15" customHeight="1" x14ac:dyDescent="0.4">
      <c r="B80" s="28" t="s">
        <v>109</v>
      </c>
      <c r="C80" s="77">
        <f>MAX(Data!C16,0)</f>
        <v>404504</v>
      </c>
      <c r="D80" s="159">
        <f>C80/$C$74</f>
        <v>1.1105657937696694E-2</v>
      </c>
      <c r="E80" s="180">
        <f>E74*F80</f>
        <v>404504</v>
      </c>
      <c r="F80" s="160">
        <f>I80</f>
        <v>1.1105657937696694E-2</v>
      </c>
      <c r="H80" s="238">
        <f>Inputs!F96</f>
        <v>404504</v>
      </c>
      <c r="I80" s="160">
        <f>H80/$H$74</f>
        <v>1.1105657937696694E-2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388601</v>
      </c>
      <c r="D81" s="159">
        <f>C81/$C$74</f>
        <v>1.0669041048412063E-2</v>
      </c>
      <c r="E81" s="180">
        <f>E74*F81</f>
        <v>388601</v>
      </c>
      <c r="F81" s="160">
        <f>I81</f>
        <v>1.0669041048412063E-2</v>
      </c>
      <c r="H81" s="238">
        <f>Inputs!F94</f>
        <v>388601</v>
      </c>
      <c r="I81" s="160">
        <f>H81/$H$74</f>
        <v>1.0669041048412063E-2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399898</v>
      </c>
      <c r="D82" s="159">
        <f>C82/$C$74</f>
        <v>1.0979200200663114E-2</v>
      </c>
      <c r="E82" s="238">
        <f>Inputs!E95</f>
        <v>399897.99999999994</v>
      </c>
      <c r="F82" s="160">
        <f>E82/E74</f>
        <v>1.0979200200663114E-2</v>
      </c>
      <c r="H82" s="238">
        <f>Inputs!F95</f>
        <v>399897.99999999994</v>
      </c>
      <c r="I82" s="160">
        <f>H82/$H$74</f>
        <v>1.0979200200663114E-2</v>
      </c>
      <c r="K82" s="24"/>
    </row>
    <row r="83" spans="1:11" ht="15" customHeight="1" thickBot="1" x14ac:dyDescent="0.45">
      <c r="B83" s="105" t="s">
        <v>125</v>
      </c>
      <c r="C83" s="163">
        <f>C79-C81-C82-C80</f>
        <v>2463850.6666666665</v>
      </c>
      <c r="D83" s="164">
        <f>C83/$C$74</f>
        <v>6.764502381574955E-2</v>
      </c>
      <c r="E83" s="165">
        <f>E79-E81-E82-E80</f>
        <v>1900552.8666666653</v>
      </c>
      <c r="F83" s="164">
        <f>E83/E74</f>
        <v>5.2179681856567198E-2</v>
      </c>
      <c r="H83" s="165">
        <f>H79-H81-H82-H80</f>
        <v>2082669.046666665</v>
      </c>
      <c r="I83" s="164">
        <f>H83/$H$74</f>
        <v>5.7179681856567195E-2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1847888</v>
      </c>
      <c r="D85" s="258">
        <f>C85/$C$74</f>
        <v>5.0733767861812169E-2</v>
      </c>
      <c r="E85" s="264">
        <f>E83*(1-F84)</f>
        <v>1425414.649999999</v>
      </c>
      <c r="F85" s="258">
        <f>E85/E74</f>
        <v>3.9134761392425402E-2</v>
      </c>
      <c r="G85" s="260"/>
      <c r="H85" s="264">
        <f>H83*(1-I84)</f>
        <v>1562001.7849999988</v>
      </c>
      <c r="I85" s="258">
        <f>H85/$H$74</f>
        <v>4.2884761392425391E-2</v>
      </c>
      <c r="K85" s="24"/>
    </row>
    <row r="86" spans="1:11" ht="15" customHeight="1" x14ac:dyDescent="0.4">
      <c r="B86" s="87" t="s">
        <v>160</v>
      </c>
      <c r="C86" s="167">
        <f>C85*Data!C4/Common_Shares</f>
        <v>1.0349994804805442</v>
      </c>
      <c r="D86" s="209"/>
      <c r="E86" s="168">
        <f>E85*Data!C4/Common_Shares</f>
        <v>0.79837274890001764</v>
      </c>
      <c r="F86" s="209"/>
      <c r="H86" s="168">
        <f>H85*Data!C4/Common_Shares</f>
        <v>0.87487501189719374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0.10805044480998412</v>
      </c>
      <c r="D87" s="209"/>
      <c r="E87" s="262">
        <f>E86*Exchange_Rate/Dashboard!G3</f>
        <v>8.3347414438087006E-2</v>
      </c>
      <c r="F87" s="209"/>
      <c r="H87" s="262">
        <f>H86*Exchange_Rate/Dashboard!G3</f>
        <v>9.1333991921176527E-2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0.84</v>
      </c>
      <c r="D88" s="166">
        <f>C88/C86</f>
        <v>0.81159461027941082</v>
      </c>
      <c r="E88" s="170">
        <f>Inputs!E98</f>
        <v>0.56000000000000005</v>
      </c>
      <c r="F88" s="166">
        <f>E88/E86</f>
        <v>0.70142674680662276</v>
      </c>
      <c r="H88" s="170">
        <f>Inputs!F98</f>
        <v>0.84</v>
      </c>
      <c r="I88" s="166">
        <f>H88/H86</f>
        <v>0.96013714939512762</v>
      </c>
      <c r="K88" s="24"/>
    </row>
    <row r="89" spans="1:11" ht="15" customHeight="1" x14ac:dyDescent="0.4">
      <c r="B89" s="87" t="s">
        <v>221</v>
      </c>
      <c r="C89" s="261">
        <f>C88*Exchange_Rate/Dashboard!G3</f>
        <v>8.7693158646076047E-2</v>
      </c>
      <c r="D89" s="209"/>
      <c r="E89" s="261">
        <f>E88*Exchange_Rate/Dashboard!G3</f>
        <v>5.8462105764050712E-2</v>
      </c>
      <c r="F89" s="209"/>
      <c r="H89" s="261">
        <f>H88*Exchange_Rate/Dashboard!G3</f>
        <v>8.7693158646076047E-2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21.092248230550666</v>
      </c>
      <c r="H93" s="87" t="s">
        <v>209</v>
      </c>
      <c r="I93" s="144">
        <f>FV(H87,D93,0,-(H86/(C93-D94)))*Exchange_Rate</f>
        <v>23.977993494471804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13.171735836667976</v>
      </c>
      <c r="H94" s="87" t="s">
        <v>210</v>
      </c>
      <c r="I94" s="144">
        <f>FV(H89,D93,0,-(H88/(C93-D94)))*Exchange_Rate</f>
        <v>22.640691342920125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21284289.122103244</v>
      </c>
      <c r="D97" s="213"/>
      <c r="E97" s="123">
        <f>PV(C94,D93,0,-F93)</f>
        <v>10.486575115366312</v>
      </c>
      <c r="F97" s="213"/>
      <c r="H97" s="123">
        <f>PV(C94,D93,0,-I93)</f>
        <v>11.921300524585124</v>
      </c>
      <c r="I97" s="123">
        <f>PV(C93,D93,0,-I93)</f>
        <v>16.281296372247212</v>
      </c>
      <c r="K97" s="24"/>
    </row>
    <row r="98" spans="2:11" ht="15" customHeight="1" x14ac:dyDescent="0.4">
      <c r="B98" s="28" t="s">
        <v>144</v>
      </c>
      <c r="C98" s="91">
        <f>E53*Exchange_Rate</f>
        <v>1610002.5900092125</v>
      </c>
      <c r="D98" s="213"/>
      <c r="E98" s="213"/>
      <c r="F98" s="213"/>
      <c r="H98" s="123">
        <f>C98*Data!$C$4/Common_Shares</f>
        <v>0.90176019554857523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19674286.532094032</v>
      </c>
      <c r="D100" s="109">
        <f>MIN(F100*(1-C94),E100)</f>
        <v>8.7568509807630708</v>
      </c>
      <c r="E100" s="109">
        <f>MAX(E97-H98+E99,0)</f>
        <v>9.5848149198177364</v>
      </c>
      <c r="F100" s="109">
        <f>(E100+H100)/2</f>
        <v>10.302177624427143</v>
      </c>
      <c r="H100" s="109">
        <f>MAX(C100*Data!$C$4/Common_Shares,0)</f>
        <v>11.01954032903655</v>
      </c>
      <c r="I100" s="109">
        <f>MAX(I97-H98+H99,0)</f>
        <v>15.379536176698636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20097220.419136129</v>
      </c>
      <c r="D103" s="109">
        <f>MIN(F103*(1-C94),E103)</f>
        <v>6.5486806214860733</v>
      </c>
      <c r="E103" s="123">
        <f>PV(C94,D93,0,-F94)</f>
        <v>6.5486806214860733</v>
      </c>
      <c r="F103" s="109">
        <f>(E103+H103)/2</f>
        <v>8.9025528141276773</v>
      </c>
      <c r="H103" s="123">
        <f>PV(C94,D93,0,-I94)</f>
        <v>11.256425006769282</v>
      </c>
      <c r="I103" s="109">
        <f>PV(C93,D93,0,-I94)</f>
        <v>15.373254893560658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14402370.905049566</v>
      </c>
      <c r="D106" s="109">
        <f>(D100+D103)/2</f>
        <v>7.6527658011245716</v>
      </c>
      <c r="E106" s="123">
        <f>(E100+E103)/2</f>
        <v>8.0667477706519044</v>
      </c>
      <c r="F106" s="109">
        <f>(F100+F103)/2</f>
        <v>9.6023652192774094</v>
      </c>
      <c r="H106" s="123">
        <f>(H100+H103)/2</f>
        <v>11.137982667902916</v>
      </c>
      <c r="I106" s="123">
        <f>(I100+I103)/2</f>
        <v>15.376395535129646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">
        <v>270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2024-12-11T06:58:33Z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