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E859F4D-4088-4D5A-B35B-AA6D8A8AB390}" xr6:coauthVersionLast="47" xr6:coauthVersionMax="47" xr10:uidLastSave="{00000000-0000-0000-0000-000000000000}"/>
  <bookViews>
    <workbookView xWindow="33720" yWindow="-120" windowWidth="29040" windowHeight="1572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03" i="3" l="1"/>
  <c r="E80" i="3"/>
  <c r="E87" i="3" l="1"/>
  <c r="C92" i="3" l="1"/>
  <c r="D101" i="3" s="1"/>
  <c r="B92" i="3"/>
  <c r="G26" i="1" l="1"/>
  <c r="D45" i="2"/>
  <c r="C82" i="3"/>
  <c r="E42" i="2"/>
  <c r="C94" i="3"/>
  <c r="C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F104" i="3"/>
  <c r="D29" i="1" s="1"/>
  <c r="E104" i="3"/>
  <c r="C29" i="1" s="1"/>
  <c r="C104" i="3"/>
  <c r="E6" i="3"/>
  <c r="F98" i="3" l="1"/>
  <c r="E98" i="3"/>
</calcChain>
</file>

<file path=xl/sharedStrings.xml><?xml version="1.0" encoding="utf-8"?>
<sst xmlns="http://schemas.openxmlformats.org/spreadsheetml/2006/main" count="252" uniqueCount="229">
  <si>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</si>
  <si>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</si>
  <si>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</si>
  <si>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</si>
  <si>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</si>
  <si>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</si>
  <si>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</si>
  <si>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</si>
  <si>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</si>
  <si>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</si>
  <si>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</si>
  <si>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</si>
  <si>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</si>
  <si>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</si>
  <si>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</si>
  <si>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</si>
  <si>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</si>
  <si>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</si>
  <si>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</si>
  <si>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</si>
  <si>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</si>
  <si>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</si>
  <si>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</si>
  <si>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</si>
  <si>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</si>
  <si>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</si>
  <si>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</si>
  <si>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</si>
  <si>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</si>
  <si>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</si>
  <si>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</si>
  <si>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</si>
  <si>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</si>
  <si>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</si>
  <si>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</si>
  <si>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</si>
  <si>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</si>
  <si>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</si>
  <si>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</si>
  <si>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</si>
  <si>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</si>
  <si>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</si>
  <si>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</si>
  <si>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</si>
  <si>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</si>
  <si>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</si>
  <si>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</si>
  <si>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</si>
  <si>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</si>
  <si>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</si>
  <si>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</si>
  <si>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</si>
  <si>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</si>
  <si>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</si>
  <si>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</si>
  <si>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</si>
  <si>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</si>
  <si>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</si>
  <si>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</si>
  <si>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</si>
  <si>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</si>
  <si>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</si>
  <si>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</si>
  <si>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</si>
  <si>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</si>
  <si>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</si>
  <si>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</si>
  <si>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</si>
  <si>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</si>
  <si>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</si>
  <si>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</si>
  <si>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</si>
  <si>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</si>
  <si>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</si>
  <si>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</si>
  <si>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</si>
  <si>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</si>
  <si>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</si>
  <si>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</si>
  <si>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</si>
  <si>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</si>
  <si>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</si>
  <si>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</si>
  <si>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</si>
  <si>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</si>
  <si>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</si>
  <si>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</si>
  <si>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</si>
  <si>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</si>
  <si>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</si>
  <si>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</si>
  <si>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</si>
  <si>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</si>
  <si>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</si>
  <si>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</si>
  <si>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</si>
  <si>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</si>
  <si>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</si>
  <si>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</si>
  <si>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</si>
  <si>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</si>
  <si>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</si>
  <si>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</si>
  <si>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</si>
  <si>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</si>
  <si>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</si>
  <si>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</si>
  <si>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</si>
  <si>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</si>
  <si>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</si>
  <si>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</si>
  <si>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</si>
  <si>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</si>
  <si>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</si>
  <si>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</si>
  <si>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</si>
  <si>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</si>
  <si>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</si>
  <si>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</si>
  <si>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</si>
  <si>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</si>
  <si>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</si>
  <si>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</si>
  <si>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</si>
  <si>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</si>
  <si>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</si>
  <si>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</si>
  <si>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</si>
  <si>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</si>
  <si>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</si>
  <si>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</si>
  <si>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</si>
  <si>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</si>
  <si>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</si>
  <si>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</si>
  <si>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</si>
  <si>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</si>
  <si>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</si>
  <si>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</si>
  <si>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</si>
  <si>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</si>
  <si>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</si>
  <si>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</si>
  <si>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</si>
  <si>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</si>
  <si>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</si>
  <si>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</si>
  <si>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</si>
  <si>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</si>
  <si>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</si>
  <si>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</si>
  <si>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</si>
  <si>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</si>
  <si>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</si>
  <si>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</si>
  <si>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</si>
  <si>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</si>
  <si>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</si>
  <si>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</si>
  <si>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</si>
  <si>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</si>
  <si>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</si>
  <si>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</si>
  <si>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</si>
  <si>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</si>
  <si>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</si>
  <si>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</si>
  <si>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</si>
  <si>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</si>
  <si>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</si>
  <si>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</si>
  <si>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</si>
  <si>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</si>
  <si>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</si>
  <si>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</si>
  <si>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</si>
  <si>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</si>
  <si>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</si>
  <si>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</si>
  <si>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</si>
  <si>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</si>
  <si>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</si>
  <si>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</si>
  <si>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</si>
  <si>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</si>
  <si>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</si>
  <si>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</si>
  <si>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</si>
  <si>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</si>
  <si>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</si>
  <si>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</si>
  <si>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</si>
  <si>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</si>
  <si>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</si>
  <si>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</si>
  <si>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</si>
  <si>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</si>
  <si>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</si>
  <si>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</si>
  <si>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</si>
  <si>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</si>
  <si>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</si>
  <si>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</si>
  <si>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</si>
  <si>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</si>
  <si>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</si>
  <si>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</si>
  <si>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</si>
  <si>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</si>
  <si>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</si>
  <si>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</si>
  <si>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</si>
  <si>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</si>
  <si>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</si>
  <si>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</si>
  <si>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</si>
  <si>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</si>
  <si>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</si>
  <si>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</si>
  <si>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</si>
  <si>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</si>
  <si>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</si>
  <si>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</si>
  <si>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</si>
  <si>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@15% Target</t>
    <phoneticPr fontId="20" type="noConversion"/>
  </si>
  <si>
    <t>@Initial rate</t>
    <phoneticPr fontId="20" type="noConversion"/>
  </si>
  <si>
    <t>Avg of E and D method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</si>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</sst>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86" fontId="2" fillId="0" borderId="0" xfId="0" applyNumberFormat="1" applyFont="1" applyAlignment="1">
      <alignment horizontal="left"/>
    </xf>
    <xf numFmtId="8" fontId="2" fillId="0" borderId="3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2" t="s">
        <v>219</v>
      </c>
      <c r="D3" s="203"/>
      <c r="E3" s="94"/>
      <c r="F3" s="3" t="s">
        <v>1</v>
      </c>
      <c r="G3" s="170">
        <v>4.3499999046325684</v>
      </c>
      <c r="H3" s="172" t="s">
        <v>2</v>
      </c>
    </row>
    <row r="4" spans="1:10" ht="15.75" customHeight="1" x14ac:dyDescent="0.4">
      <c r="B4" s="35" t="s">
        <v>217</v>
      </c>
      <c r="C4" s="204" t="s">
        <v>218</v>
      </c>
      <c r="D4" s="205"/>
      <c r="E4" s="94"/>
      <c r="F4" s="3" t="s">
        <v>3</v>
      </c>
      <c r="G4" s="208">
        <v>1043691480</v>
      </c>
      <c r="H4" s="208"/>
      <c r="I4" s="39"/>
    </row>
    <row r="5" spans="1:10" ht="15.75" customHeight="1" x14ac:dyDescent="0.4">
      <c r="B5" s="3" t="s">
        <v>178</v>
      </c>
      <c r="C5" s="206">
        <v>45591</v>
      </c>
      <c r="D5" s="207"/>
      <c r="E5" s="34"/>
      <c r="F5" s="35" t="s">
        <v>102</v>
      </c>
      <c r="G5" s="200">
        <f>G3*G4/1000000</f>
        <v>4540.0578384658238</v>
      </c>
      <c r="H5" s="200"/>
      <c r="I5" s="38"/>
      <c r="J5" s="28"/>
    </row>
    <row r="6" spans="1:10" ht="15.75" customHeight="1" x14ac:dyDescent="0.4">
      <c r="B6" s="94" t="s">
        <v>4</v>
      </c>
      <c r="C6" s="190">
        <v>8</v>
      </c>
      <c r="D6" s="191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1" t="s">
        <v>2</v>
      </c>
      <c r="H6" s="201"/>
      <c r="I6" s="38"/>
    </row>
    <row r="7" spans="1:10" ht="15.75" customHeight="1" x14ac:dyDescent="0.4">
      <c r="B7" s="93" t="s">
        <v>214</v>
      </c>
      <c r="C7" s="189" t="s">
        <v>46</v>
      </c>
      <c r="D7" s="195" t="s">
        <v>220</v>
      </c>
      <c r="E7" s="94"/>
      <c r="F7" s="35" t="s">
        <v>6</v>
      </c>
      <c r="G7" s="171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79" t="s">
        <v>212</v>
      </c>
      <c r="F9" s="185" t="s">
        <v>206</v>
      </c>
    </row>
    <row r="10" spans="1:10" ht="15.75" customHeight="1" x14ac:dyDescent="0.4">
      <c r="B10" s="1" t="s">
        <v>195</v>
      </c>
      <c r="C10" s="169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3">
        <v>5.3099999999999994E-2</v>
      </c>
      <c r="D11" s="176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92">
        <v>0.08</v>
      </c>
      <c r="D12" s="169">
        <v>0.09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9">
        <v>2.0799999999999999E-2</v>
      </c>
      <c r="F14" s="125" t="s">
        <v>202</v>
      </c>
    </row>
    <row r="15" spans="1:10" ht="15.75" customHeight="1" x14ac:dyDescent="0.4">
      <c r="B15" s="1" t="s">
        <v>207</v>
      </c>
      <c r="C15" s="169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3">
        <v>0.16</v>
      </c>
      <c r="D16" s="194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3">
        <v>0.1</v>
      </c>
      <c r="D17" s="188"/>
    </row>
    <row r="18" spans="1:8" ht="15.75" customHeight="1" x14ac:dyDescent="0.4"/>
    <row r="19" spans="1:8" ht="15.75" customHeight="1" x14ac:dyDescent="0.4">
      <c r="B19" s="184" t="s">
        <v>204</v>
      </c>
      <c r="C19" s="174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6" t="s">
        <v>185</v>
      </c>
      <c r="C20" s="177">
        <f>Fin_Analysis!F75</f>
        <v>0.66005868735054896</v>
      </c>
      <c r="F20" s="94"/>
      <c r="G20" s="29"/>
    </row>
    <row r="21" spans="1:8" ht="15.75" customHeight="1" x14ac:dyDescent="0.4">
      <c r="B21" s="176" t="s">
        <v>186</v>
      </c>
      <c r="C21" s="177">
        <f>Fin_Analysis!F77</f>
        <v>0.20403193785652382</v>
      </c>
      <c r="F21" s="94"/>
      <c r="G21" s="29"/>
    </row>
    <row r="22" spans="1:8" ht="15.75" customHeight="1" x14ac:dyDescent="0.4">
      <c r="B22" s="176" t="s">
        <v>187</v>
      </c>
      <c r="C22" s="177">
        <f>Fin_Analysis!F79</f>
        <v>7.0437342852983705E-5</v>
      </c>
      <c r="F22" s="184" t="s">
        <v>205</v>
      </c>
    </row>
    <row r="23" spans="1:8" ht="15.75" customHeight="1" x14ac:dyDescent="0.4">
      <c r="B23" s="176" t="s">
        <v>188</v>
      </c>
      <c r="C23" s="177">
        <f>Fin_Analysis!F80</f>
        <v>0.02</v>
      </c>
      <c r="F23" s="180" t="s">
        <v>209</v>
      </c>
      <c r="G23" s="187">
        <f>G3/(Data!C34*Data!E3/Common_Shares*Exchange_Rate)</f>
        <v>1.2383808726780174</v>
      </c>
    </row>
    <row r="24" spans="1:8" ht="15.75" customHeight="1" x14ac:dyDescent="0.4">
      <c r="B24" s="176" t="s">
        <v>189</v>
      </c>
      <c r="C24" s="177">
        <f>Fin_Analysis!F81</f>
        <v>0</v>
      </c>
      <c r="F24" s="180" t="s">
        <v>194</v>
      </c>
      <c r="G24" s="181">
        <f>(Fin_Analysis!E86*G7)/G3</f>
        <v>7.5759810289163371E-2</v>
      </c>
    </row>
    <row r="25" spans="1:8" ht="15.75" customHeight="1" x14ac:dyDescent="0.4">
      <c r="B25" s="176" t="s">
        <v>213</v>
      </c>
      <c r="C25" s="177">
        <f>Fin_Analysis!F82</f>
        <v>8.0000000000000004E-4</v>
      </c>
      <c r="F25" s="180" t="s">
        <v>193</v>
      </c>
      <c r="G25" s="177">
        <f>Fin_Analysis!F87</f>
        <v>0.480041023736138</v>
      </c>
    </row>
    <row r="26" spans="1:8" ht="15.75" customHeight="1" x14ac:dyDescent="0.4">
      <c r="B26" s="178" t="s">
        <v>191</v>
      </c>
      <c r="C26" s="177">
        <f>Fin_Analysis!F83</f>
        <v>0.11503893745007428</v>
      </c>
      <c r="F26" s="182" t="s">
        <v>215</v>
      </c>
      <c r="G26" s="181">
        <f>Fin_Analysis!E87*Exchange_Rate/G3</f>
        <v>3.6367816889265589E-2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7">
        <f>IF(Fin_Analysis!C106="Profit",Fin_Analysis!E98,IF(Fin_Analysis!C106="Dividend",Fin_Analysis!E101,Fin_Analysis!E104))</f>
        <v>2.606360685963037</v>
      </c>
      <c r="D29" s="166">
        <f>IF(Fin_Analysis!C106="Profit",Fin_Analysis!F98,IF(Fin_Analysis!C106="Dividend",Fin_Analysis!F101,Fin_Analysis!F104))</f>
        <v>4.3439344766050612</v>
      </c>
      <c r="E29" s="94"/>
      <c r="F29" s="168">
        <f>IF(Fin_Analysis!C106="Profit",Fin_Analysis!D98,IF(Fin_Analysis!C106="Dividend",Fin_Analysis!D101,Fin_Analysis!D104))</f>
        <v>3.4751475812840491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0" zoomScale="137" zoomScaleNormal="70" workbookViewId="0">
      <pane xSplit="2" topLeftCell="D1" activePane="topRight" state="frozen"/>
      <selection activeCell="A4" sqref="A4"/>
      <selection pane="topRight" activeCell="E45" sqref="E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0" zoomScale="125" zoomScaleNormal="100" workbookViewId="0">
      <selection activeCell="F103" sqref="F10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1263294.6332545376</v>
      </c>
      <c r="E6" s="56">
        <f>1-D6/D3</f>
        <v>0.65541410130848332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1.2104100277359144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1.2383808726780174</v>
      </c>
      <c r="E53" s="95">
        <f>MAX(C53,C53*Dashboard!G23)</f>
        <v>56486.26674546241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8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2">
        <f>I15+I34</f>
        <v>7638</v>
      </c>
      <c r="E56" s="213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1322113</v>
      </c>
      <c r="D62" s="122">
        <f t="shared" si="7"/>
        <v>1</v>
      </c>
      <c r="E62" s="142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9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0">
        <f>Data!C5</f>
        <v>45291</v>
      </c>
      <c r="D72" s="210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9" t="s">
        <v>103</v>
      </c>
      <c r="D73" s="209"/>
      <c r="E73" s="211" t="s">
        <v>104</v>
      </c>
      <c r="F73" s="209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8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8">
        <f>D75*E74</f>
        <v>2530133</v>
      </c>
      <c r="F75" s="149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0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8">
        <f>D77*E74</f>
        <v>782094</v>
      </c>
      <c r="F77" s="149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0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8">
        <f>C79</f>
        <v>270</v>
      </c>
      <c r="F79" s="149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8">
        <f>2%*E74</f>
        <v>76663.88</v>
      </c>
      <c r="F80" s="149">
        <f t="shared" ref="F80:F83" si="8">E80/$E$74</f>
        <v>0.02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2980</v>
      </c>
      <c r="D82" s="131">
        <f>C82/$C$74</f>
        <v>7.7741956185885708E-4</v>
      </c>
      <c r="E82" s="148">
        <f>E74*0.08%</f>
        <v>3066.5552000000002</v>
      </c>
      <c r="F82" s="149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1">
        <f>E78-E79-E80-E81-E82</f>
        <v>440966.56479999999</v>
      </c>
      <c r="F83" s="135">
        <f t="shared" si="8"/>
        <v>0.11503893745007428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0.22</v>
      </c>
    </row>
    <row r="85" spans="1:8" ht="15" customHeight="1" x14ac:dyDescent="0.4">
      <c r="B85" s="93" t="s">
        <v>179</v>
      </c>
      <c r="C85" s="118">
        <f>C83*(1-F84)</f>
        <v>146731.26</v>
      </c>
      <c r="D85" s="135">
        <f>C85/$C$74</f>
        <v>3.8279111362482569E-2</v>
      </c>
      <c r="E85" s="153">
        <f>E83*(1-F84)</f>
        <v>343953.92054399999</v>
      </c>
      <c r="F85" s="135">
        <f>E85/$E$74</f>
        <v>8.9730371211057924E-2</v>
      </c>
    </row>
    <row r="86" spans="1:8" ht="15" customHeight="1" x14ac:dyDescent="0.4">
      <c r="B86" s="94" t="s">
        <v>174</v>
      </c>
      <c r="C86" s="160">
        <f>C85*Data!E3/Common_Shares</f>
        <v>0.14058873030179378</v>
      </c>
      <c r="D86" s="130"/>
      <c r="E86" s="162">
        <f>E85*Data!E3/Common_Shares</f>
        <v>0.32955516753284214</v>
      </c>
      <c r="F86" s="130"/>
    </row>
    <row r="87" spans="1:8" ht="15" customHeight="1" x14ac:dyDescent="0.4">
      <c r="B87" s="93" t="s">
        <v>175</v>
      </c>
      <c r="C87" s="163">
        <v>0.15820000000000001</v>
      </c>
      <c r="D87" s="135">
        <f>C87/C86</f>
        <v>1.1252680044865697</v>
      </c>
      <c r="E87" s="161">
        <f>C87</f>
        <v>0.15820000000000001</v>
      </c>
      <c r="F87" s="135">
        <f>E87/E86</f>
        <v>0.480041023736138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4" t="s">
        <v>170</v>
      </c>
      <c r="E90" s="214"/>
      <c r="G90" s="94"/>
    </row>
    <row r="91" spans="1:8" ht="15" customHeight="1" x14ac:dyDescent="0.4">
      <c r="B91" s="1" t="s">
        <v>192</v>
      </c>
      <c r="C91" s="173" t="s">
        <v>210</v>
      </c>
      <c r="D91" s="215" t="s">
        <v>222</v>
      </c>
      <c r="E91" s="215"/>
      <c r="F91" s="29">
        <f>E86*Exchange_Rate/Dashboard!G3</f>
        <v>7.5759810289163371E-2</v>
      </c>
      <c r="H91" s="186"/>
    </row>
    <row r="92" spans="1:8" ht="15" customHeight="1" x14ac:dyDescent="0.4">
      <c r="B92" s="1" t="str">
        <f>IF(C91="CN",Dashboard!B17,Dashboard!B12)</f>
        <v>Required Return (US)</v>
      </c>
      <c r="C92" s="175">
        <f>IF(C91="CN",Dashboard!C17,IF(C91="US",Dashboard!C12,IF(C91="HK",Dashboard!D12,Dashboard!D17)))</f>
        <v>0.09</v>
      </c>
      <c r="D92" s="196">
        <v>5</v>
      </c>
      <c r="E92" s="94" t="s">
        <v>223</v>
      </c>
      <c r="F92" s="197">
        <f>FV(F91,D92,0,-(E86/C92))</f>
        <v>5.2754825747001375</v>
      </c>
      <c r="H92" s="186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4" t="str">
        <f>Dashboard!H3</f>
        <v>HKD</v>
      </c>
      <c r="D94" s="198" t="s">
        <v>225</v>
      </c>
      <c r="E94" s="156" t="s">
        <v>224</v>
      </c>
    </row>
    <row r="95" spans="1:8" ht="15" customHeight="1" x14ac:dyDescent="0.4">
      <c r="B95" s="1" t="s">
        <v>140</v>
      </c>
      <c r="C95" s="102">
        <f>D95*Common_Shares/Data!E3</f>
        <v>3578506.7550575384</v>
      </c>
      <c r="D95" s="154">
        <f>PV(C92,D92,0,-F92)*Exchange_Rate</f>
        <v>3.4287017031676243</v>
      </c>
      <c r="E95" s="154">
        <f>PV(15%,D92,0,-F92)*Exchange_Rate</f>
        <v>2.6228472036124311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4">
        <f>C96*Data!$E$3/Common_Shares</f>
        <v>2.9381816933103642E-3</v>
      </c>
      <c r="E96" s="130"/>
      <c r="F96" s="137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5">
        <f>C97*Data!$E$3/Common_Shares</f>
        <v>1.2645316410937837</v>
      </c>
      <c r="E97" s="199"/>
      <c r="F97" s="157" t="s">
        <v>144</v>
      </c>
    </row>
    <row r="98" spans="2:6" ht="15" customHeight="1" thickTop="1" x14ac:dyDescent="0.4">
      <c r="B98" s="1" t="s">
        <v>119</v>
      </c>
      <c r="C98" s="102">
        <f>C95-C96+$C$97</f>
        <v>4895221.0998575389</v>
      </c>
      <c r="D98" s="124">
        <f>MAX(C98*Data!$E$3/Common_Shares,0)</f>
        <v>4.6902951625680984</v>
      </c>
      <c r="E98" s="124">
        <f>D98*(1-25%)</f>
        <v>3.5177213719260738</v>
      </c>
      <c r="F98" s="124">
        <f>D98*1.25</f>
        <v>5.862868953210123</v>
      </c>
    </row>
    <row r="100" spans="2:6" ht="15" customHeight="1" x14ac:dyDescent="0.4">
      <c r="B100" s="10" t="s">
        <v>177</v>
      </c>
      <c r="C100" s="164" t="str">
        <f>C94</f>
        <v>HKD</v>
      </c>
      <c r="D100" s="198"/>
      <c r="E100" s="156" t="s">
        <v>143</v>
      </c>
      <c r="F100" s="157" t="s">
        <v>144</v>
      </c>
    </row>
    <row r="101" spans="2:6" ht="15" customHeight="1" x14ac:dyDescent="0.4">
      <c r="B101" s="1" t="s">
        <v>176</v>
      </c>
      <c r="C101" s="102">
        <f>D101*Common_Shares/Data!E3</f>
        <v>2358742.7448</v>
      </c>
      <c r="D101" s="154">
        <f>E87/(C92-2%)*Exchange_Rate</f>
        <v>2.2600000000000002</v>
      </c>
      <c r="E101" s="124">
        <f>D101*(1-25%)</f>
        <v>1.6950000000000003</v>
      </c>
      <c r="F101" s="124">
        <f>D101*1.25</f>
        <v>2.8250000000000002</v>
      </c>
    </row>
    <row r="103" spans="2:6" ht="15" customHeight="1" x14ac:dyDescent="0.4">
      <c r="B103" s="10" t="s">
        <v>226</v>
      </c>
      <c r="C103" s="164" t="str">
        <f>C100</f>
        <v>HKD</v>
      </c>
      <c r="D103" s="198"/>
      <c r="E103" s="156" t="s">
        <v>143</v>
      </c>
      <c r="F103" s="157" t="s">
        <v>144</v>
      </c>
    </row>
    <row r="104" spans="2:6" ht="15" customHeight="1" x14ac:dyDescent="0.4">
      <c r="B104" s="1" t="s">
        <v>227</v>
      </c>
      <c r="C104" s="102">
        <f>D104*Common_Shares/Data!E3</f>
        <v>3626981.9223287697</v>
      </c>
      <c r="D104" s="154">
        <f>(D98+D101)/2</f>
        <v>3.4751475812840491</v>
      </c>
      <c r="E104" s="124">
        <f>D104*(1-25%)</f>
        <v>2.606360685963037</v>
      </c>
      <c r="F104" s="124">
        <f>D104*1.25</f>
        <v>4.3439344766050612</v>
      </c>
    </row>
    <row r="106" spans="2:6" ht="15" customHeight="1" x14ac:dyDescent="0.4">
      <c r="B106" s="10" t="s">
        <v>180</v>
      </c>
      <c r="C106" s="165" t="s">
        <v>228</v>
      </c>
    </row>
  </sheetData>
  <mergeCells count="8">
    <mergeCell ref="D90:E90"/>
    <mergeCell ref="D91:E91"/>
    <mergeCell ref="C73:D73"/>
    <mergeCell ref="C72:D72"/>
    <mergeCell ref="E73:F73"/>
    <mergeCell ref="D56:E56"/>
    <mergeCell ref="D57:E57"/>
    <mergeCell ref="D58:E58"/>
  </mergeCells>
  <phoneticPr fontId="20" type="noConversion"/>
  <conditionalFormatting sqref="C86:C87">
    <cfRule type="containsBlanks" dxfId="4" priority="6">
      <formula>LEN(TRIM(C86))=0</formula>
    </cfRule>
  </conditionalFormatting>
  <conditionalFormatting sqref="C106">
    <cfRule type="containsBlanks" dxfId="3" priority="1">
      <formula>LEN(TRIM(C106))=0</formula>
    </cfRule>
  </conditionalFormatting>
  <conditionalFormatting sqref="E74:E82 F84">
    <cfRule type="containsBlanks" dxfId="2" priority="10">
      <formula>LEN(TRIM(E74))=0</formula>
    </cfRule>
  </conditionalFormatting>
  <conditionalFormatting sqref="E87">
    <cfRule type="containsBlanks" dxfId="1" priority="5">
      <formula>LEN(TRIM(E87))=0</formula>
    </cfRule>
  </conditionalFormatting>
  <conditionalFormatting sqref="F92">
    <cfRule type="containsBlanks" dxfId="0" priority="8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2024-10-29T09:24:07Z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