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8278C7-A205-448C-969A-3B53CC342AF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<sst xmlns="http://schemas.openxmlformats.org/spreadsheetml/2006/main" count="390" uniqueCount="265">
  <si>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</si>
  <si>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</si>
  <si>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</si>
  <si>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</si>
  <si>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</si>
  <si>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</si>
  <si>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</si>
  <si>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</si>
  <si>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</si>
  <si>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</si>
  <si>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</si>
  <si>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</si>
  <si>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</si>
  <si>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</si>
  <si>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</si>
  <si>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</si>
  <si>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</si>
  <si>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</si>
  <si>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</si>
  <si>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</si>
  <si>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</si>
  <si>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</si>
  <si>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</si>
  <si>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</si>
  <si>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</si>
  <si>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</si>
  <si>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</si>
  <si>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</si>
  <si>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</si>
  <si>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</si>
  <si>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</si>
  <si>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</si>
  <si>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</si>
  <si>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</si>
  <si>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</si>
  <si>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</si>
  <si>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</si>
  <si>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</si>
  <si>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</si>
  <si>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</si>
  <si>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</si>
  <si>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</si>
  <si>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</si>
  <si>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</si>
  <si>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</si>
  <si>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</si>
  <si>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</si>
  <si>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</si>
  <si>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</si>
  <si>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</si>
  <si>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</si>
  <si>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</si>
  <si>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</si>
  <si>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</si>
  <si>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</si>
  <si>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</si>
  <si>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</si>
  <si>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</si>
  <si>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</si>
  <si>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</si>
  <si>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</si>
  <si>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</si>
  <si>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</si>
  <si>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</si>
  <si>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</si>
  <si>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</si>
  <si>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</si>
  <si>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</si>
  <si>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</si>
  <si>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</si>
  <si>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</si>
  <si>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</si>
  <si>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</si>
  <si>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</si>
  <si>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</si>
  <si>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</si>
  <si>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</si>
  <si>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</si>
  <si>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</si>
  <si>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</si>
  <si>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</si>
  <si>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</si>
  <si>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</si>
  <si>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</si>
  <si>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</si>
  <si>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</si>
  <si>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</si>
  <si>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</si>
  <si>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</si>
  <si>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</si>
  <si>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</si>
  <si>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</si>
  <si>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</si>
  <si>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</si>
  <si>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</si>
  <si>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</si>
  <si>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</si>
  <si>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</si>
  <si>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</si>
  <si>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</si>
  <si>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</si>
  <si>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</si>
  <si>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</si>
  <si>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</si>
  <si>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</si>
  <si>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</si>
  <si>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</si>
  <si>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</si>
  <si>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</si>
  <si>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</si>
  <si>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</si>
  <si>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</si>
  <si>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</si>
  <si>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</si>
  <si>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</si>
  <si>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</si>
  <si>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</si>
  <si>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</si>
  <si>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</si>
  <si>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</si>
  <si>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</si>
  <si>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</si>
  <si>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</si>
  <si>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</si>
  <si>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</si>
  <si>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</si>
  <si>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</si>
  <si>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</si>
  <si>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</si>
  <si>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</si>
  <si>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</si>
  <si>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</si>
  <si>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</si>
  <si>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</si>
  <si>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</si>
  <si>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</si>
  <si>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</si>
  <si>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</si>
  <si>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</si>
  <si>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</si>
  <si>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</si>
  <si>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</si>
  <si>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</si>
  <si>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</si>
  <si>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</si>
  <si>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</si>
  <si>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</si>
  <si>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</si>
  <si>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</si>
  <si>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</si>
  <si>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</si>
  <si>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</si>
  <si>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</si>
  <si>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</si>
  <si>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</si>
  <si>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</si>
  <si>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</si>
  <si>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</si>
  <si>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</si>
  <si>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</si>
  <si>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</si>
  <si>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</si>
  <si>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</si>
  <si>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</si>
  <si>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</si>
  <si>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</si>
  <si>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</si>
  <si>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</si>
  <si>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</si>
  <si>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</si>
  <si>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</si>
  <si>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</si>
  <si>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</si>
  <si>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</si>
  <si>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</si>
  <si>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</si>
  <si>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</si>
  <si>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</si>
  <si>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</si>
  <si>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</si>
  <si>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</si>
  <si>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</si>
  <si>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</si>
  <si>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</si>
  <si>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</si>
  <si>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</si>
  <si>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</si>
  <si>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</si>
  <si>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</si>
  <si>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</si>
  <si>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</si>
  <si>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</si>
  <si>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</si>
  <si>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</si>
  <si>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</si>
  <si>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</si>
  <si>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</si>
  <si>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</si>
  <si>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</si>
  <si>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</si>
  <si>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</si>
  <si>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</si>
  <si>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</si>
  <si>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</si>
  <si>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</si>
  <si>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</si>
  <si>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</si>
  <si>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</si>
  <si>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</si>
  <si>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</si>
  <si>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</si>
  <si>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</si>
  <si>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</si>
  <si>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</si>
  <si>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</si>
  <si>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</si>
  <si>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</si>
  <si>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</si>
  <si>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</si>
  <si>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</si>
  <si>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</si>
  <si>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</si>
  <si>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</si>
  <si>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</si>
  <si>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</si>
  <si>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</si>
  <si>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</si>
  <si>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</si>
  <si>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</si>
  <si>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</si>
  <si>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</si>
  <si>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</si>
  <si>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</si>
  <si>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</si>
  <si>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</si>
  <si>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</si>
  <si>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</si>
  <si>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</si>
  <si>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</si>
  <si>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</si>
  <si>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</si>
  <si>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</si>
  <si>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</si>
  <si>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</si>
  <si>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</si>
  <si>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</si>
  <si>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</si>
  <si>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</si>
  <si>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</si>
  <si>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</si>
  <si>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</si>
  <si>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</si>
  <si>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</si>
  <si>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</si>
  <si>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</si>
  <si>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</si>
  <si>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</si>
  <si>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</si>
  <si>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</si>
  <si>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</si>
  <si>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</si>
  <si>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0011.HK</t>
  </si>
  <si>
    <t>恒生銀行</t>
  </si>
  <si>
    <t>C0014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</si>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</sst>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261</v>
      </c>
    </row>
    <row r="5" spans="1:4" ht="13.9" x14ac:dyDescent="0.4">
      <c r="B5" s="141" t="s">
        <v>197</v>
      </c>
      <c r="C5" s="192" t="s">
        <v>262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263</v>
      </c>
    </row>
    <row r="10" spans="1:4" ht="13.9" x14ac:dyDescent="0.4">
      <c r="B10" s="140" t="s">
        <v>219</v>
      </c>
      <c r="C10" s="194">
        <v>1882267536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258</v>
      </c>
      <c r="C15" s="177" t="s">
        <v>191</v>
      </c>
    </row>
    <row r="16" spans="1:4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242</v>
      </c>
      <c r="C18" s="243" t="s">
        <v>234</v>
      </c>
      <c r="D18" s="24"/>
    </row>
    <row r="19" spans="2:13" ht="13.9" x14ac:dyDescent="0.4">
      <c r="B19" s="241" t="s">
        <v>243</v>
      </c>
      <c r="C19" s="243" t="s">
        <v>234</v>
      </c>
      <c r="D19" s="24"/>
    </row>
    <row r="20" spans="2:13" ht="13.9" x14ac:dyDescent="0.4">
      <c r="B20" s="242" t="s">
        <v>230</v>
      </c>
      <c r="C20" s="243" t="s">
        <v>234</v>
      </c>
      <c r="D20" s="24"/>
    </row>
    <row r="21" spans="2:13" ht="13.9" x14ac:dyDescent="0.4">
      <c r="B21" s="225" t="s">
        <v>235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7.407407407407407E-2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264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250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259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0011.HK</v>
      </c>
      <c r="D3" s="275"/>
      <c r="E3" s="87"/>
      <c r="F3" s="3" t="s">
        <v>1</v>
      </c>
      <c r="G3" s="132">
        <v>91.8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恒生銀行</v>
      </c>
      <c r="D4" s="277"/>
      <c r="E4" s="87"/>
      <c r="F4" s="3" t="s">
        <v>3</v>
      </c>
      <c r="G4" s="280">
        <f>Inputs!C10</f>
        <v>1882267536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172792.1598048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176</v>
      </c>
      <c r="G24" s="179">
        <f>(Fin_Analysis!H86*G7)/G3</f>
        <v>0.10908828283235786</v>
      </c>
    </row>
    <row r="25" spans="1:8" ht="15.75" customHeight="1" x14ac:dyDescent="0.4">
      <c r="B25" s="137" t="s">
        <v>247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195</v>
      </c>
      <c r="G26" s="179">
        <f>Fin_Analysis!H88*Exchange_Rate/G3</f>
        <v>7.407407407407407E-2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241</v>
      </c>
      <c r="G28" s="270" t="s">
        <v>260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62.239467713646398</v>
      </c>
      <c r="D29" s="129">
        <f>G29*(1+G20)</f>
        <v>123.04046471656656</v>
      </c>
      <c r="E29" s="87"/>
      <c r="F29" s="131">
        <f>IF(Fin_Analysis!C108="Profit",Fin_Analysis!F100,IF(Fin_Analysis!C108="Dividend",Fin_Analysis!F103,Fin_Analysis!F106))</f>
        <v>73.22290319252518</v>
      </c>
      <c r="G29" s="271">
        <f>IF(Fin_Analysis!C108="Profit",Fin_Analysis!I100,IF(Fin_Analysis!C108="Dividend",Fin_Analysis!I103,Fin_Analysis!I106))</f>
        <v>106.99170844918832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242</v>
      </c>
      <c r="C36" s="246" t="str">
        <f>Inputs!C18</f>
        <v>agree</v>
      </c>
    </row>
    <row r="37" spans="1:3" ht="15.75" customHeight="1" x14ac:dyDescent="0.4">
      <c r="A37"/>
      <c r="B37" s="20" t="s">
        <v>243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235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244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245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237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246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239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238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240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236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0.10908828283235786</v>
      </c>
      <c r="D87" s="210"/>
      <c r="E87" s="263">
        <f>E86*Exchange_Rate/Dashboard!G3</f>
        <v>0.10908828283235786</v>
      </c>
      <c r="F87" s="210"/>
      <c r="H87" s="263">
        <f>H86*Exchange_Rate/Dashboard!G3</f>
        <v>0.10908828283235786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223</v>
      </c>
      <c r="C89" s="262">
        <f>C88*Exchange_Rate/Dashboard!G3</f>
        <v>7.407407407407407E-2</v>
      </c>
      <c r="D89" s="210"/>
      <c r="E89" s="262">
        <f>E88*Exchange_Rate/Dashboard!G3</f>
        <v>7.407407407407407E-2</v>
      </c>
      <c r="F89" s="210"/>
      <c r="H89" s="262">
        <f>H88*Exchange_Rate/Dashboard!G3</f>
        <v>7.407407407407407E-2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254.62874930542586</v>
      </c>
      <c r="H93" s="87" t="s">
        <v>211</v>
      </c>
      <c r="I93" s="144">
        <f>FV(H87,D93,0,-(H86/C93))*Exchange_Rate</f>
        <v>254.62874930542586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147.27741262590217</v>
      </c>
      <c r="H94" s="87" t="s">
        <v>212</v>
      </c>
      <c r="I94" s="144">
        <f>FV(H89,D93,0,-(H88/C93))*Exchange_Rate</f>
        <v>147.27741262590217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241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238286.58158206212</v>
      </c>
      <c r="D97" s="214"/>
      <c r="E97" s="123">
        <f>PV(C94,D93,0,-F93)</f>
        <v>126.59549029275833</v>
      </c>
      <c r="F97" s="214"/>
      <c r="H97" s="123">
        <f>PV(C94,D93,0,-I93)</f>
        <v>126.59549029275833</v>
      </c>
      <c r="I97" s="123">
        <f>PV(C93,D93,0,-I93)</f>
        <v>184.9785681506211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238286.58158206212</v>
      </c>
      <c r="D100" s="109">
        <f>MIN(F100*(1-C94),E100)</f>
        <v>107.60616674884457</v>
      </c>
      <c r="E100" s="109">
        <f>MAX(E97-H98+E99,0)</f>
        <v>126.59549029275833</v>
      </c>
      <c r="F100" s="109">
        <f>(E100+H100)/2</f>
        <v>126.59549029275833</v>
      </c>
      <c r="H100" s="109">
        <f>MAX(C100*Data!$C$4/Common_Shares,0)</f>
        <v>126.59549029275833</v>
      </c>
      <c r="I100" s="109">
        <f>MAX(I97-H98+H99,0)</f>
        <v>184.9785681506211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241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137825.09357096092</v>
      </c>
      <c r="D103" s="109">
        <f>MIN(F103*(1-C94),E103)</f>
        <v>62.239467713646398</v>
      </c>
      <c r="E103" s="123">
        <f>PV(C94,D93,0,-F94)</f>
        <v>73.22290319252518</v>
      </c>
      <c r="F103" s="109">
        <f>(E103+H103)/2</f>
        <v>73.22290319252518</v>
      </c>
      <c r="H103" s="123">
        <f>PV(C94,D93,0,-I94)</f>
        <v>73.22290319252518</v>
      </c>
      <c r="I103" s="109">
        <f>PV(C93,D93,0,-I94)</f>
        <v>106.99170844918832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241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188055.83757651155</v>
      </c>
      <c r="D106" s="109">
        <f>(D100+D103)/2</f>
        <v>84.922817231245489</v>
      </c>
      <c r="E106" s="123">
        <f>(E100+E103)/2</f>
        <v>99.909196742641754</v>
      </c>
      <c r="F106" s="109">
        <f>(F100+F103)/2</f>
        <v>99.909196742641754</v>
      </c>
      <c r="H106" s="123">
        <f>(H100+H103)/2</f>
        <v>99.909196742641754</v>
      </c>
      <c r="I106" s="123">
        <f>(I100+I103)/2</f>
        <v>145.98513829990472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