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9A5427F-A2A8-4394-B3D3-331689F38E1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E95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<sst xmlns="http://schemas.openxmlformats.org/spreadsheetml/2006/main" count="390" uniqueCount="268">
  <si>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</si>
  <si>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</si>
  <si>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</si>
  <si>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</si>
  <si>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</si>
  <si>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</si>
  <si>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</si>
  <si>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</si>
  <si>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</si>
  <si>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</si>
  <si>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</si>
  <si>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</si>
  <si>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</si>
  <si>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</si>
  <si>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</si>
  <si>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</si>
  <si>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</si>
  <si>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</si>
  <si>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</si>
  <si>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</si>
  <si>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</si>
  <si>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</si>
  <si>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</si>
  <si>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</si>
  <si>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</si>
  <si>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</si>
  <si>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</si>
  <si>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</si>
  <si>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</si>
  <si>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</si>
  <si>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</si>
  <si>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</si>
  <si>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</si>
  <si>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</si>
  <si>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</si>
  <si>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</si>
  <si>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</si>
  <si>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</si>
  <si>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</si>
  <si>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</si>
  <si>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</si>
  <si>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</si>
  <si>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</si>
  <si>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</si>
  <si>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</si>
  <si>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</si>
  <si>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</si>
  <si>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</si>
  <si>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</si>
  <si>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</si>
  <si>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</si>
  <si>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</si>
  <si>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</si>
  <si>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</si>
  <si>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</si>
  <si>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</si>
  <si>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</si>
  <si>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</si>
  <si>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</si>
  <si>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</si>
  <si>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</si>
  <si>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</si>
  <si>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</si>
  <si>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</si>
  <si>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</si>
  <si>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</si>
  <si>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</si>
  <si>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</si>
  <si>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</si>
  <si>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</si>
  <si>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</si>
  <si>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</si>
  <si>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</si>
  <si>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</si>
  <si>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</si>
  <si>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</si>
  <si>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</si>
  <si>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</si>
  <si>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</si>
  <si>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</si>
  <si>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</si>
  <si>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</si>
  <si>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</si>
  <si>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</si>
  <si>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</si>
  <si>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</si>
  <si>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</si>
  <si>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</si>
  <si>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</si>
  <si>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</si>
  <si>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</si>
  <si>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</si>
  <si>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</si>
  <si>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</si>
  <si>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</si>
  <si>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</si>
  <si>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</si>
  <si>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</si>
  <si>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</si>
  <si>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</si>
  <si>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</si>
  <si>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</si>
  <si>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</si>
  <si>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</si>
  <si>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</si>
  <si>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</si>
  <si>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</si>
  <si>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</si>
  <si>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</si>
  <si>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</si>
  <si>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</si>
  <si>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</si>
  <si>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</si>
  <si>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</si>
  <si>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</si>
  <si>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</si>
  <si>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</si>
  <si>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</si>
  <si>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</si>
  <si>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</si>
  <si>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</si>
  <si>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</si>
  <si>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</si>
  <si>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</si>
  <si>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</si>
  <si>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</si>
  <si>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</si>
  <si>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</si>
  <si>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</si>
  <si>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</si>
  <si>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</si>
  <si>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</si>
  <si>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</si>
  <si>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</si>
  <si>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</si>
  <si>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</si>
  <si>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</si>
  <si>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</si>
  <si>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</si>
  <si>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</si>
  <si>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</si>
  <si>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</si>
  <si>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</si>
  <si>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</si>
  <si>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</si>
  <si>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</si>
  <si>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</si>
  <si>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</si>
  <si>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</si>
  <si>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</si>
  <si>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</si>
  <si>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</si>
  <si>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</si>
  <si>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</si>
  <si>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</si>
  <si>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</si>
  <si>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</si>
  <si>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</si>
  <si>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</si>
  <si>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</si>
  <si>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</si>
  <si>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</si>
  <si>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</si>
  <si>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</si>
  <si>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</si>
  <si>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</si>
  <si>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</si>
  <si>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</si>
  <si>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</si>
  <si>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</si>
  <si>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</si>
  <si>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</si>
  <si>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</si>
  <si>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</si>
  <si>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</si>
  <si>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</si>
  <si>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</si>
  <si>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</si>
  <si>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</si>
  <si>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</si>
  <si>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</si>
  <si>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</si>
  <si>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</si>
  <si>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</si>
  <si>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</si>
  <si>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</si>
  <si>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</si>
  <si>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</si>
  <si>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</si>
  <si>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</si>
  <si>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</si>
  <si>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</si>
  <si>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</si>
  <si>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</si>
  <si>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</si>
  <si>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</si>
  <si>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</si>
  <si>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</si>
  <si>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</si>
  <si>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</si>
  <si>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</si>
  <si>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</si>
  <si>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</si>
  <si>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</si>
  <si>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</si>
  <si>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</si>
  <si>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</si>
  <si>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</si>
  <si>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</si>
  <si>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</si>
  <si>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</si>
  <si>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</si>
  <si>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</si>
  <si>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</si>
  <si>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</si>
  <si>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</si>
  <si>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</si>
  <si>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</si>
  <si>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</si>
  <si>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</si>
  <si>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</si>
  <si>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</si>
  <si>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</si>
  <si>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</si>
  <si>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</si>
  <si>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</si>
  <si>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</si>
  <si>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</si>
  <si>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</si>
  <si>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</si>
  <si>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</si>
  <si>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</si>
  <si>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</si>
  <si>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</si>
  <si>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</si>
  <si>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</si>
  <si>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</si>
  <si>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</si>
  <si>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</si>
  <si>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</si>
  <si>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</si>
  <si>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</si>
  <si>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</si>
  <si>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</si>
  <si>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</si>
  <si>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</si>
  <si>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</si>
  <si>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</si>
  <si>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</si>
  <si>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</si>
  <si>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</si>
  <si>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</si>
  <si>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</si>
  <si>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</si>
  <si>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</si>
  <si>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</si>
  <si>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</si>
  <si>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</si>
  <si>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</si>
  <si>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</si>
  <si>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</si>
  <si>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</si>
  <si>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0069.HK</t>
  </si>
  <si>
    <t>SHANGRI-LA ASIA</t>
  </si>
  <si>
    <t>C0011</t>
  </si>
  <si>
    <t>USD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</si>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</sst>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3585525056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191</v>
      </c>
    </row>
    <row r="16" spans="1:4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242</v>
      </c>
      <c r="C18" s="243" t="s">
        <v>249</v>
      </c>
      <c r="D18" s="24"/>
    </row>
    <row r="19" spans="2:13" ht="13.9" x14ac:dyDescent="0.4">
      <c r="B19" s="241" t="s">
        <v>243</v>
      </c>
      <c r="C19" s="243" t="s">
        <v>266</v>
      </c>
      <c r="D19" s="24"/>
    </row>
    <row r="20" spans="2:13" ht="13.9" x14ac:dyDescent="0.4">
      <c r="B20" s="242" t="s">
        <v>230</v>
      </c>
      <c r="C20" s="243" t="s">
        <v>249</v>
      </c>
      <c r="D20" s="24"/>
    </row>
    <row r="21" spans="2:13" ht="13.9" x14ac:dyDescent="0.4">
      <c r="B21" s="225" t="s">
        <v>235</v>
      </c>
      <c r="C21" s="243" t="s">
        <v>266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3.7298059299717953E-2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106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251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260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22924.183006535946</v>
      </c>
      <c r="D97" s="160">
        <f>C97/C91</f>
        <v>1.0703282304304319E-2</v>
      </c>
      <c r="E97" s="254"/>
      <c r="F97" s="253">
        <f>F91*D97</f>
        <v>22924.183006535946</v>
      </c>
    </row>
    <row r="98" spans="2:7" ht="13.9" x14ac:dyDescent="0.4">
      <c r="B98" s="86" t="s">
        <v>209</v>
      </c>
      <c r="C98" s="238">
        <f>C44</f>
        <v>2.5641025641025644E-2</v>
      </c>
      <c r="D98" s="267"/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0069.HK</v>
      </c>
      <c r="D3" s="275"/>
      <c r="E3" s="87"/>
      <c r="F3" s="3" t="s">
        <v>1</v>
      </c>
      <c r="G3" s="132">
        <v>5.35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SHANGRI-LA ASIA</v>
      </c>
      <c r="D4" s="277"/>
      <c r="E4" s="87"/>
      <c r="F4" s="3" t="s">
        <v>3</v>
      </c>
      <c r="G4" s="280">
        <f>Inputs!C10</f>
        <v>3585525056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45603</v>
      </c>
      <c r="D5" s="279"/>
      <c r="E5" s="34"/>
      <c r="F5" s="35" t="s">
        <v>100</v>
      </c>
      <c r="G5" s="272">
        <f>G3*G4/1000000</f>
        <v>19182.559049599997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USD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7.7822400728861494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0.45524911405880131</v>
      </c>
      <c r="F20" s="87" t="s">
        <v>213</v>
      </c>
      <c r="G20" s="173">
        <v>0.15</v>
      </c>
    </row>
    <row r="21" spans="1:8" ht="15.75" customHeight="1" x14ac:dyDescent="0.4">
      <c r="B21" s="137" t="s">
        <v>248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1.0703282304304319E-2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0.12063647696552883</v>
      </c>
      <c r="F24" s="140" t="s">
        <v>176</v>
      </c>
      <c r="G24" s="179">
        <f>(Fin_Analysis!H86*G7)/G3</f>
        <v>-2.3477212698921088E-2</v>
      </c>
    </row>
    <row r="25" spans="1:8" ht="15.75" customHeight="1" x14ac:dyDescent="0.4">
      <c r="B25" s="137" t="s">
        <v>247</v>
      </c>
      <c r="C25" s="172">
        <f>Fin_Analysis!I82</f>
        <v>0</v>
      </c>
      <c r="F25" s="140" t="s">
        <v>175</v>
      </c>
      <c r="G25" s="172">
        <f>Fin_Analysis!I88</f>
        <v>-1.5886919702964573</v>
      </c>
    </row>
    <row r="26" spans="1:8" ht="15.75" customHeight="1" x14ac:dyDescent="0.4">
      <c r="B26" s="138" t="s">
        <v>174</v>
      </c>
      <c r="C26" s="172">
        <f>Fin_Analysis!I83</f>
        <v>-3.5319141001935742E-2</v>
      </c>
      <c r="F26" s="141" t="s">
        <v>195</v>
      </c>
      <c r="G26" s="179">
        <f>Fin_Analysis!H88*Exchange_Rate/G3</f>
        <v>3.7298059299717953E-2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241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1.5344178157957113</v>
      </c>
      <c r="D29" s="129">
        <f>G29*(1+G20)</f>
        <v>3.0333723609832344</v>
      </c>
      <c r="E29" s="87"/>
      <c r="F29" s="131">
        <f>IF(Fin_Analysis!C108="Profit",Fin_Analysis!F100,IF(Fin_Analysis!C108="Dividend",Fin_Analysis!F103,Fin_Analysis!F106))</f>
        <v>1.8051974303478957</v>
      </c>
      <c r="G29" s="271">
        <f>IF(Fin_Analysis!C108="Profit",Fin_Analysis!I100,IF(Fin_Analysis!C108="Dividend",Fin_Analysis!I103,Fin_Analysis!I106))</f>
        <v>2.6377150965071605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242</v>
      </c>
      <c r="C36" s="246" t="str">
        <f>Inputs!C18</f>
        <v>unclear</v>
      </c>
    </row>
    <row r="37" spans="1:3" ht="15.75" customHeight="1" x14ac:dyDescent="0.4">
      <c r="A37"/>
      <c r="B37" s="20" t="s">
        <v>243</v>
      </c>
      <c r="C37" s="246" t="str">
        <f>Inputs!C19</f>
        <v>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235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244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245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237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246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239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238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240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96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173</v>
      </c>
      <c r="C78" s="77">
        <f>MAX(Data!C12,0)</f>
        <v>22924.183006535946</v>
      </c>
      <c r="D78" s="160">
        <f>C78/$C$74</f>
        <v>1.0703282304304319E-2</v>
      </c>
      <c r="E78" s="181">
        <f>E74*F78</f>
        <v>22924.183006535946</v>
      </c>
      <c r="F78" s="161">
        <f>I78</f>
        <v>1.0703282304304319E-2</v>
      </c>
      <c r="H78" s="239">
        <f>Inputs!F97</f>
        <v>22924.183006535946</v>
      </c>
      <c r="I78" s="161">
        <f>H78/$H$74</f>
        <v>1.0703282304304319E-2</v>
      </c>
      <c r="K78" s="24"/>
    </row>
    <row r="79" spans="1:11" ht="15" customHeight="1" x14ac:dyDescent="0.4">
      <c r="B79" s="257" t="s">
        <v>236</v>
      </c>
      <c r="C79" s="258">
        <f>C76-C77-C78</f>
        <v>182731.81699346405</v>
      </c>
      <c r="D79" s="259">
        <f>C79/C74</f>
        <v>8.5317335963593088E-2</v>
      </c>
      <c r="E79" s="260">
        <f>E76-E77-E78</f>
        <v>182731.81699346405</v>
      </c>
      <c r="F79" s="259">
        <f>E79/E74</f>
        <v>8.5317335963593088E-2</v>
      </c>
      <c r="G79" s="261"/>
      <c r="H79" s="260">
        <f>H76-H77-H78</f>
        <v>182731.81699346405</v>
      </c>
      <c r="I79" s="259">
        <f>H79/H74</f>
        <v>8.5317335963593088E-2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-75646.183006535954</v>
      </c>
      <c r="F83" s="165">
        <f>E83/E74</f>
        <v>-3.5319141001935742E-2</v>
      </c>
      <c r="H83" s="166">
        <f>H79-H81-H82-H80</f>
        <v>-75646.183006535954</v>
      </c>
      <c r="I83" s="165">
        <f>H83/$H$74</f>
        <v>-3.5319141001935742E-2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-57869.330000000009</v>
      </c>
      <c r="F85" s="259">
        <f>E85/E74</f>
        <v>-2.7019142866480845E-2</v>
      </c>
      <c r="G85" s="261"/>
      <c r="H85" s="265">
        <f>H83*(1-I84)</f>
        <v>-57869.330000000009</v>
      </c>
      <c r="I85" s="259">
        <f>H85/$H$74</f>
        <v>-2.7019142866480845E-2</v>
      </c>
      <c r="K85" s="24"/>
    </row>
    <row r="86" spans="1:11" ht="15" customHeight="1" x14ac:dyDescent="0.4">
      <c r="B86" s="87" t="s">
        <v>161</v>
      </c>
      <c r="C86" s="168">
        <f>C85*Data!C4/Common_Shares</f>
        <v>-1.6139708716624852E-2</v>
      </c>
      <c r="D86" s="210"/>
      <c r="E86" s="169">
        <f>E85*Data!C4/Common_Shares</f>
        <v>-1.6139708716624852E-2</v>
      </c>
      <c r="F86" s="210"/>
      <c r="H86" s="169">
        <f>H85*Data!C4/Common_Shares</f>
        <v>-1.6139708716624852E-2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-2.3477212698921088E-2</v>
      </c>
      <c r="D87" s="210"/>
      <c r="E87" s="263">
        <f>E86*Exchange_Rate/Dashboard!G3</f>
        <v>-2.3477212698921088E-2</v>
      </c>
      <c r="F87" s="210"/>
      <c r="H87" s="263">
        <f>H86*Exchange_Rate/Dashboard!G3</f>
        <v>-2.3477212698921088E-2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-1.5886919702964573</v>
      </c>
      <c r="H88" s="171">
        <f>Inputs!F98</f>
        <v>2.5641025641025644E-2</v>
      </c>
      <c r="I88" s="167">
        <f>H88/H86</f>
        <v>-1.5886919702964573</v>
      </c>
      <c r="K88" s="24"/>
    </row>
    <row r="89" spans="1:11" ht="15" customHeight="1" x14ac:dyDescent="0.4">
      <c r="B89" s="87" t="s">
        <v>223</v>
      </c>
      <c r="C89" s="262">
        <f>C88*Exchange_Rate/Dashboard!G3</f>
        <v>3.7298059299717953E-2</v>
      </c>
      <c r="D89" s="210"/>
      <c r="E89" s="262">
        <f>E88*Exchange_Rate/Dashboard!G3</f>
        <v>3.7298059299717953E-2</v>
      </c>
      <c r="F89" s="210"/>
      <c r="H89" s="262">
        <f>H88*Exchange_Rate/Dashboard!G3</f>
        <v>3.7298059299717953E-2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-1.6899283489571451</v>
      </c>
      <c r="H93" s="87" t="s">
        <v>211</v>
      </c>
      <c r="I93" s="144">
        <f>FV(H87,D93,0,-(H86/C93))*Exchange_Rate</f>
        <v>-1.6899283489571451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3.6308968263867696</v>
      </c>
      <c r="H94" s="87" t="s">
        <v>212</v>
      </c>
      <c r="I94" s="144">
        <f>FV(H89,D93,0,-(H88/C93))*Exchange_Rate</f>
        <v>3.6308968263867696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241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-3012533.2664368227</v>
      </c>
      <c r="D97" s="214"/>
      <c r="E97" s="123">
        <f>PV(C94,D93,0,-F93)</f>
        <v>-0.84019305942254252</v>
      </c>
      <c r="F97" s="214"/>
      <c r="H97" s="123">
        <f>PV(C94,D93,0,-I93)</f>
        <v>-0.84019305942254252</v>
      </c>
      <c r="I97" s="123">
        <f>PV(C93,D93,0,-I93)</f>
        <v>-1.2276717657371561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-3012533.2664368227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241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6472580.6175391953</v>
      </c>
      <c r="D103" s="109">
        <f>MIN(F103*(1-C94),E103)</f>
        <v>1.5344178157957113</v>
      </c>
      <c r="E103" s="123">
        <f>PV(C94,D93,0,-F94)</f>
        <v>1.8051974303478957</v>
      </c>
      <c r="F103" s="109">
        <f>(E103+H103)/2</f>
        <v>1.8051974303478957</v>
      </c>
      <c r="H103" s="123">
        <f>PV(C94,D93,0,-I94)</f>
        <v>1.8051974303478957</v>
      </c>
      <c r="I103" s="109">
        <f>PV(C93,D93,0,-I94)</f>
        <v>2.6377150965071605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241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3236290.3087695977</v>
      </c>
      <c r="D106" s="109">
        <f>(D100+D103)/2</f>
        <v>0.76720890789785567</v>
      </c>
      <c r="E106" s="123">
        <f>(E100+E103)/2</f>
        <v>0.90259871517394785</v>
      </c>
      <c r="F106" s="109">
        <f>(F100+F103)/2</f>
        <v>0.90259871517394785</v>
      </c>
      <c r="H106" s="123">
        <f>(H100+H103)/2</f>
        <v>0.90259871517394785</v>
      </c>
      <c r="I106" s="123">
        <f>(I100+I103)/2</f>
        <v>1.3188575482535803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