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11E7E83F-DA37-4805-8049-68EFBFEA66F2}" xr6:coauthVersionLast="47" xr6:coauthVersionMax="47" xr10:uidLastSave="{00000000-0000-0000-0000-000000000000}"/>
  <bookViews>
    <workbookView xWindow="-98" yWindow="-98" windowWidth="17115" windowHeight="10755" activeTab="1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E95" i="4"/>
  <c r="F94" i="4"/>
  <c r="F93" i="4"/>
  <c r="E93" i="4"/>
  <c r="F91" i="4"/>
  <c r="F92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C44" i="4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6" i="4" l="1"/>
  <c r="F95" i="4"/>
  <c r="F97" i="4"/>
  <c r="D56" i="4"/>
  <c r="D33" i="2"/>
  <c r="C43" i="1"/>
  <c r="C40" i="1"/>
  <c r="C39" i="1"/>
  <c r="C37" i="1"/>
  <c r="C36" i="1"/>
  <c r="C33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E100" i="3"/>
  <c r="H87" i="3" l="1"/>
  <c r="I93" i="3" s="1"/>
  <c r="I88" i="3"/>
  <c r="G25" i="1" s="1"/>
  <c r="G24" i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<sst xmlns="http://schemas.openxmlformats.org/spreadsheetml/2006/main" count="390" uniqueCount="268">
  <si>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</si>
  <si>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</si>
  <si>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</si>
  <si>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</si>
  <si>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</si>
  <si>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</si>
  <si>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</si>
  <si>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</si>
  <si>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</si>
  <si>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</si>
  <si>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</si>
  <si>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</si>
  <si>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</si>
  <si>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</si>
  <si>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</si>
  <si>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</si>
  <si>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</si>
  <si>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</si>
  <si>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</si>
  <si>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</si>
  <si>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</si>
  <si>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</si>
  <si>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</si>
  <si>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</si>
  <si>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</si>
  <si>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</si>
  <si>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</si>
  <si>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</si>
  <si>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</si>
  <si>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</si>
  <si>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</si>
  <si>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</si>
  <si>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</si>
  <si>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</si>
  <si>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</si>
  <si>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</si>
  <si>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</si>
  <si>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</si>
  <si>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</si>
  <si>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</si>
  <si>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</si>
  <si>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</si>
  <si>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</si>
  <si>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</si>
  <si>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</si>
  <si>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</si>
  <si>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</si>
  <si>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</si>
  <si>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</si>
  <si>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</si>
  <si>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</si>
  <si>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</si>
  <si>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</si>
  <si>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</si>
  <si>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</si>
  <si>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</si>
  <si>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</si>
  <si>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</si>
  <si>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</si>
  <si>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</si>
  <si>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</si>
  <si>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</si>
  <si>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</si>
  <si>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</si>
  <si>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</si>
  <si>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</si>
  <si>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</si>
  <si>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</si>
  <si>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</si>
  <si>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</si>
  <si>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</si>
  <si>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</si>
  <si>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</si>
  <si>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</si>
  <si>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</si>
  <si>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</si>
  <si>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</si>
  <si>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</si>
  <si>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</si>
  <si>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</si>
  <si>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</si>
  <si>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</si>
  <si>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</si>
  <si>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</si>
  <si>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</si>
  <si>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</si>
  <si>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</si>
  <si>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</si>
  <si>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</si>
  <si>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</si>
  <si>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</si>
  <si>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</si>
  <si>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</si>
  <si>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</si>
  <si>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</si>
  <si>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</si>
  <si>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</si>
  <si>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</si>
  <si>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</si>
  <si>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</si>
  <si>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</si>
  <si>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</si>
  <si>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</si>
  <si>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</si>
  <si>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</si>
  <si>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</si>
  <si>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</si>
  <si>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</si>
  <si>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</si>
  <si>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</si>
  <si>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</si>
  <si>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</si>
  <si>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</si>
  <si>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</si>
  <si>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</si>
  <si>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</si>
  <si>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</si>
  <si>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</si>
  <si>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</si>
  <si>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</si>
  <si>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</si>
  <si>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</si>
  <si>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</si>
  <si>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</si>
  <si>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</si>
  <si>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</si>
  <si>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</si>
  <si>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</si>
  <si>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</si>
  <si>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</si>
  <si>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</si>
  <si>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</si>
  <si>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</si>
  <si>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</si>
  <si>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</si>
  <si>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</si>
  <si>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</si>
  <si>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</si>
  <si>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</si>
  <si>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</si>
  <si>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</si>
  <si>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</si>
  <si>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</si>
  <si>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</si>
  <si>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</si>
  <si>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</si>
  <si>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</si>
  <si>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</si>
  <si>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</si>
  <si>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</si>
  <si>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</si>
  <si>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</si>
  <si>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</si>
  <si>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</si>
  <si>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</si>
  <si>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</si>
  <si>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</si>
  <si>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</si>
  <si>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</si>
  <si>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</si>
  <si>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</si>
  <si>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</si>
  <si>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</si>
  <si>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</si>
  <si>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</si>
  <si>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</si>
  <si>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</si>
  <si>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</si>
  <si>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</si>
  <si>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</si>
  <si>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</si>
  <si>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</si>
  <si>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</si>
  <si>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</si>
  <si>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</si>
  <si>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</si>
  <si>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</si>
  <si>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</si>
  <si>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</si>
  <si>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</si>
  <si>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</si>
  <si>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</si>
  <si>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</si>
  <si>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</si>
  <si>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</si>
  <si>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</si>
  <si>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</si>
  <si>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</si>
  <si>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</si>
  <si>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</si>
  <si>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</si>
  <si>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</si>
  <si>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</si>
  <si>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</si>
  <si>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</si>
  <si>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</si>
  <si>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</si>
  <si>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</si>
  <si>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</si>
  <si>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</si>
  <si>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</si>
  <si>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</si>
  <si>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</si>
  <si>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</si>
  <si>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</si>
  <si>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</si>
  <si>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</si>
  <si>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</si>
  <si>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</si>
  <si>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</si>
  <si>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</si>
  <si>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</si>
  <si>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</si>
  <si>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</si>
  <si>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</si>
  <si>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</si>
  <si>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</si>
  <si>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</si>
  <si>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</si>
  <si>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</si>
  <si>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</si>
  <si>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</si>
  <si>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</si>
  <si>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</si>
  <si>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</si>
  <si>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</si>
  <si>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</si>
  <si>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</si>
  <si>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</si>
  <si>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</si>
  <si>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</si>
  <si>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</si>
  <si>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</si>
  <si>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Consumer Monopoly</t>
  </si>
  <si>
    <t>agree</t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</si>
  <si>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</si>
  <si>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</si>
  <si>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</si>
  <si>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</si>
  <si>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</si>
  <si>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</si>
  <si>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</si>
  <si>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</si>
  <si>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</si>
  <si>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</si>
  <si>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</si>
  <si>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</si>
  <si>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</si>
  <si>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</si>
  <si>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</si>
  <si>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</si>
  <si>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</si>
  <si>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</si>
  <si>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</si>
  <si>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</si>
  <si>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</si>
  <si>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</si>
  <si>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</si>
  <si>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</si>
  <si>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</si>
  <si>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</si>
  <si>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</si>
  <si>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</si>
  <si>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0468.HK</t>
  </si>
  <si>
    <t>紛美包裝</t>
  </si>
  <si>
    <t>C0007</t>
  </si>
  <si>
    <t>CNY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</si>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</sst>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4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0.82154354610382485</c:v>
                </c:pt>
                <c:pt idx="1">
                  <c:v>0.1102707353696761</c:v>
                </c:pt>
                <c:pt idx="2">
                  <c:v>0</c:v>
                </c:pt>
                <c:pt idx="3">
                  <c:v>0</c:v>
                </c:pt>
                <c:pt idx="4">
                  <c:v>1.9909979330197799E-3</c:v>
                </c:pt>
                <c:pt idx="5">
                  <c:v>0</c:v>
                </c:pt>
                <c:pt idx="6">
                  <c:v>6.6194720593479306E-2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4" ht="15" x14ac:dyDescent="0.4">
      <c r="A2" s="5"/>
      <c r="B2" s="6" t="s">
        <v>216</v>
      </c>
    </row>
    <row r="4" spans="1:4" ht="13.9" x14ac:dyDescent="0.4">
      <c r="B4" s="141" t="s">
        <v>196</v>
      </c>
      <c r="C4" s="189" t="s">
        <v>263</v>
      </c>
    </row>
    <row r="5" spans="1:4" ht="13.9" x14ac:dyDescent="0.4">
      <c r="B5" s="141" t="s">
        <v>197</v>
      </c>
      <c r="C5" s="192" t="s">
        <v>264</v>
      </c>
    </row>
    <row r="6" spans="1:4" ht="13.9" x14ac:dyDescent="0.4">
      <c r="B6" s="141" t="s">
        <v>164</v>
      </c>
      <c r="C6" s="190">
        <v>45605</v>
      </c>
    </row>
    <row r="7" spans="1:4" ht="13.9" x14ac:dyDescent="0.4">
      <c r="B7" s="140" t="s">
        <v>4</v>
      </c>
      <c r="C7" s="191">
        <v>8</v>
      </c>
    </row>
    <row r="8" spans="1:4" ht="13.9" x14ac:dyDescent="0.4">
      <c r="B8" s="140" t="s">
        <v>217</v>
      </c>
      <c r="C8" s="192" t="s">
        <v>46</v>
      </c>
    </row>
    <row r="9" spans="1:4" ht="13.9" x14ac:dyDescent="0.4">
      <c r="B9" s="140" t="s">
        <v>218</v>
      </c>
      <c r="C9" s="193" t="s">
        <v>265</v>
      </c>
    </row>
    <row r="10" spans="1:4" ht="13.9" x14ac:dyDescent="0.4">
      <c r="B10" s="140" t="s">
        <v>219</v>
      </c>
      <c r="C10" s="194">
        <v>1407129000</v>
      </c>
    </row>
    <row r="11" spans="1:4" ht="13.9" x14ac:dyDescent="0.4">
      <c r="B11" s="140" t="s">
        <v>220</v>
      </c>
      <c r="C11" s="193" t="s">
        <v>266</v>
      </c>
    </row>
    <row r="12" spans="1:4" ht="13.9" x14ac:dyDescent="0.4">
      <c r="B12" s="219" t="s">
        <v>10</v>
      </c>
      <c r="C12" s="220">
        <v>45291</v>
      </c>
    </row>
    <row r="13" spans="1:4" ht="13.9" x14ac:dyDescent="0.4">
      <c r="B13" s="219" t="s">
        <v>11</v>
      </c>
      <c r="C13" s="221">
        <v>1000</v>
      </c>
    </row>
    <row r="14" spans="1:4" ht="13.9" x14ac:dyDescent="0.4">
      <c r="B14" s="219" t="s">
        <v>221</v>
      </c>
      <c r="C14" s="220">
        <v>45473</v>
      </c>
    </row>
    <row r="15" spans="1:4" ht="13.9" x14ac:dyDescent="0.4">
      <c r="B15" s="219" t="s">
        <v>260</v>
      </c>
      <c r="C15" s="177" t="s">
        <v>267</v>
      </c>
    </row>
    <row r="16" spans="1:4" ht="13.9" x14ac:dyDescent="0.4">
      <c r="B16" s="223" t="s">
        <v>97</v>
      </c>
      <c r="C16" s="224">
        <v>0.25</v>
      </c>
      <c r="D16" s="24"/>
    </row>
    <row r="17" spans="2:13" ht="13.9" x14ac:dyDescent="0.4">
      <c r="B17" s="241" t="s">
        <v>226</v>
      </c>
      <c r="C17" s="243" t="s">
        <v>234</v>
      </c>
      <c r="D17" s="24"/>
    </row>
    <row r="18" spans="2:13" ht="13.9" x14ac:dyDescent="0.4">
      <c r="B18" s="241" t="s">
        <v>242</v>
      </c>
      <c r="C18" s="243" t="s">
        <v>249</v>
      </c>
      <c r="D18" s="24"/>
    </row>
    <row r="19" spans="2:13" ht="13.9" x14ac:dyDescent="0.4">
      <c r="B19" s="241" t="s">
        <v>243</v>
      </c>
      <c r="C19" s="243" t="s">
        <v>234</v>
      </c>
      <c r="D19" s="24"/>
    </row>
    <row r="20" spans="2:13" ht="13.9" x14ac:dyDescent="0.4">
      <c r="B20" s="242" t="s">
        <v>230</v>
      </c>
      <c r="C20" s="243" t="s">
        <v>234</v>
      </c>
      <c r="D20" s="24"/>
    </row>
    <row r="21" spans="2:13" ht="13.9" x14ac:dyDescent="0.4">
      <c r="B21" s="225" t="s">
        <v>235</v>
      </c>
      <c r="C21" s="243" t="s">
        <v>249</v>
      </c>
      <c r="D21" s="24"/>
    </row>
    <row r="22" spans="2:13" ht="78.75" x14ac:dyDescent="0.4">
      <c r="B22" s="227" t="s">
        <v>232</v>
      </c>
      <c r="C22" s="244" t="s">
        <v>233</v>
      </c>
      <c r="D22" s="24"/>
    </row>
    <row r="24" spans="2:13" ht="13.9" x14ac:dyDescent="0.4">
      <c r="B24" s="115" t="s">
        <v>134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12</v>
      </c>
      <c r="C25" s="150">
        <v>3816679</v>
      </c>
      <c r="D25" s="150">
        <v>3937011</v>
      </c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106</v>
      </c>
      <c r="C26" s="151">
        <v>3135568</v>
      </c>
      <c r="D26" s="151">
        <v>3349048</v>
      </c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104</v>
      </c>
      <c r="C27" s="151">
        <v>420868</v>
      </c>
      <c r="D27" s="151">
        <v>424202</v>
      </c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107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261</v>
      </c>
      <c r="C29" s="151">
        <v>7599</v>
      </c>
      <c r="D29" s="151">
        <v>5443</v>
      </c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111</v>
      </c>
      <c r="C30" s="151"/>
      <c r="D30" s="151"/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110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105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108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15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117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149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16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116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17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18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138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139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137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209</v>
      </c>
      <c r="C44" s="251">
        <f>0.06+0.04</f>
        <v>0.1</v>
      </c>
      <c r="D44" s="251"/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257</v>
      </c>
      <c r="C45" s="153">
        <f>IF(C44="","",C44*Exchange_Rate/Dashboard!$G$3)</f>
        <v>4.2939640680948896E-2</v>
      </c>
      <c r="D45" s="153" t="str">
        <f>IF(D44="","",D44*Exchange_Rate/Dashboard!$G$3)</f>
        <v/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253</v>
      </c>
      <c r="C47" s="195" t="s">
        <v>34</v>
      </c>
      <c r="D47" s="195" t="s">
        <v>198</v>
      </c>
      <c r="E47" s="111" t="s">
        <v>36</v>
      </c>
    </row>
    <row r="48" spans="2:13" ht="13.9" x14ac:dyDescent="0.4">
      <c r="B48" s="3" t="s">
        <v>38</v>
      </c>
      <c r="C48" s="59"/>
      <c r="D48" s="60">
        <v>0.9</v>
      </c>
      <c r="E48" s="112"/>
    </row>
    <row r="49" spans="2:5" ht="13.9" x14ac:dyDescent="0.4">
      <c r="B49" s="1" t="s">
        <v>136</v>
      </c>
      <c r="C49" s="59"/>
      <c r="D49" s="60">
        <v>0.8</v>
      </c>
      <c r="E49" s="112"/>
    </row>
    <row r="50" spans="2:5" ht="13.9" x14ac:dyDescent="0.4">
      <c r="B50" s="3" t="s">
        <v>117</v>
      </c>
      <c r="C50" s="59"/>
      <c r="D50" s="60">
        <f>D51</f>
        <v>0.6</v>
      </c>
      <c r="E50" s="112"/>
    </row>
    <row r="51" spans="2:5" ht="13.9" x14ac:dyDescent="0.4">
      <c r="B51" s="3" t="s">
        <v>42</v>
      </c>
      <c r="C51" s="59"/>
      <c r="D51" s="60">
        <v>0.6</v>
      </c>
      <c r="E51" s="112"/>
    </row>
    <row r="52" spans="2:5" ht="13.9" x14ac:dyDescent="0.4">
      <c r="B52" s="3" t="s">
        <v>44</v>
      </c>
      <c r="C52" s="59"/>
      <c r="D52" s="60">
        <v>0.5</v>
      </c>
      <c r="E52" s="112"/>
    </row>
    <row r="53" spans="2:5" ht="13.9" x14ac:dyDescent="0.4">
      <c r="B53" s="1" t="s">
        <v>159</v>
      </c>
      <c r="C53" s="59"/>
      <c r="D53" s="60">
        <f>D50</f>
        <v>0.6</v>
      </c>
      <c r="E53" s="112"/>
    </row>
    <row r="54" spans="2:5" ht="13.9" x14ac:dyDescent="0.4">
      <c r="B54" s="3" t="s">
        <v>118</v>
      </c>
      <c r="C54" s="59"/>
      <c r="D54" s="60">
        <v>0.1</v>
      </c>
      <c r="E54" s="112"/>
    </row>
    <row r="55" spans="2:5" ht="13.9" x14ac:dyDescent="0.4">
      <c r="B55" s="3" t="s">
        <v>47</v>
      </c>
      <c r="C55" s="59"/>
      <c r="D55" s="60">
        <f>D52</f>
        <v>0.5</v>
      </c>
      <c r="E55" s="112"/>
    </row>
    <row r="56" spans="2:5" ht="13.9" x14ac:dyDescent="0.4">
      <c r="B56" s="1" t="s">
        <v>48</v>
      </c>
      <c r="C56" s="59"/>
      <c r="D56" s="60">
        <f>D50</f>
        <v>0.6</v>
      </c>
      <c r="E56" s="222" t="s">
        <v>71</v>
      </c>
    </row>
    <row r="57" spans="2:5" ht="13.9" x14ac:dyDescent="0.4">
      <c r="B57" s="3" t="s">
        <v>120</v>
      </c>
      <c r="C57" s="59"/>
      <c r="D57" s="60">
        <v>0.6</v>
      </c>
      <c r="E57" s="222" t="s">
        <v>46</v>
      </c>
    </row>
    <row r="58" spans="2:5" ht="13.9" x14ac:dyDescent="0.4">
      <c r="B58" s="3" t="s">
        <v>50</v>
      </c>
      <c r="C58" s="59"/>
      <c r="D58" s="60">
        <f>D48</f>
        <v>0.9</v>
      </c>
      <c r="E58" s="112"/>
    </row>
    <row r="59" spans="2:5" ht="13.9" x14ac:dyDescent="0.4">
      <c r="B59" s="35" t="s">
        <v>51</v>
      </c>
      <c r="C59" s="120"/>
      <c r="D59" s="196">
        <f>D70</f>
        <v>0.05</v>
      </c>
      <c r="E59" s="112"/>
    </row>
    <row r="60" spans="2:5" ht="13.9" x14ac:dyDescent="0.4">
      <c r="B60" s="3" t="s">
        <v>61</v>
      </c>
      <c r="C60" s="59"/>
      <c r="D60" s="60">
        <f>D49</f>
        <v>0.8</v>
      </c>
      <c r="E60" s="112"/>
    </row>
    <row r="61" spans="2:5" ht="13.9" x14ac:dyDescent="0.4">
      <c r="B61" s="3" t="s">
        <v>63</v>
      </c>
      <c r="C61" s="59"/>
      <c r="D61" s="60">
        <f>D51</f>
        <v>0.6</v>
      </c>
      <c r="E61" s="112"/>
    </row>
    <row r="62" spans="2:5" ht="13.9" x14ac:dyDescent="0.4">
      <c r="B62" s="3" t="s">
        <v>65</v>
      </c>
      <c r="C62" s="59"/>
      <c r="D62" s="60">
        <f>D52</f>
        <v>0.5</v>
      </c>
      <c r="E62" s="112"/>
    </row>
    <row r="63" spans="2:5" ht="13.9" x14ac:dyDescent="0.4">
      <c r="B63" s="1" t="s">
        <v>160</v>
      </c>
      <c r="C63" s="59"/>
      <c r="D63" s="60">
        <f>D62</f>
        <v>0.5</v>
      </c>
      <c r="E63" s="112"/>
    </row>
    <row r="64" spans="2:5" ht="13.9" x14ac:dyDescent="0.4">
      <c r="B64" s="3" t="s">
        <v>68</v>
      </c>
      <c r="C64" s="59"/>
      <c r="D64" s="60">
        <v>0.4</v>
      </c>
      <c r="E64" s="112"/>
    </row>
    <row r="65" spans="2:5" ht="13.9" x14ac:dyDescent="0.4">
      <c r="B65" s="3" t="s">
        <v>70</v>
      </c>
      <c r="C65" s="59"/>
      <c r="D65" s="60">
        <v>0.1</v>
      </c>
      <c r="E65" s="222" t="s">
        <v>71</v>
      </c>
    </row>
    <row r="66" spans="2:5" ht="13.9" x14ac:dyDescent="0.4">
      <c r="B66" s="3" t="s">
        <v>72</v>
      </c>
      <c r="C66" s="59"/>
      <c r="D66" s="60">
        <v>0.2</v>
      </c>
      <c r="E66" s="222" t="s">
        <v>71</v>
      </c>
    </row>
    <row r="67" spans="2:5" ht="13.9" x14ac:dyDescent="0.4">
      <c r="B67" s="1" t="s">
        <v>49</v>
      </c>
      <c r="C67" s="59"/>
      <c r="D67" s="60">
        <f>D65</f>
        <v>0.1</v>
      </c>
      <c r="E67" s="222" t="s">
        <v>46</v>
      </c>
    </row>
    <row r="68" spans="2:5" ht="13.9" x14ac:dyDescent="0.4">
      <c r="B68" s="3" t="s">
        <v>119</v>
      </c>
      <c r="C68" s="59"/>
      <c r="D68" s="60">
        <f>D65</f>
        <v>0.1</v>
      </c>
      <c r="E68" s="112"/>
    </row>
    <row r="69" spans="2:5" ht="13.9" x14ac:dyDescent="0.4">
      <c r="B69" s="3" t="s">
        <v>73</v>
      </c>
      <c r="C69" s="59"/>
      <c r="D69" s="60">
        <f>D70</f>
        <v>0.05</v>
      </c>
      <c r="E69" s="112"/>
    </row>
    <row r="70" spans="2:5" ht="13.9" x14ac:dyDescent="0.4">
      <c r="B70" s="3" t="s">
        <v>74</v>
      </c>
      <c r="C70" s="59"/>
      <c r="D70" s="60">
        <v>0.05</v>
      </c>
      <c r="E70" s="112"/>
    </row>
    <row r="71" spans="2:5" ht="13.9" x14ac:dyDescent="0.4">
      <c r="B71" s="3" t="s">
        <v>75</v>
      </c>
      <c r="C71" s="59"/>
      <c r="D71" s="60">
        <f>D58</f>
        <v>0.9</v>
      </c>
      <c r="E71" s="112"/>
    </row>
    <row r="72" spans="2:5" ht="14.25" thickBot="1" x14ac:dyDescent="0.45">
      <c r="B72" s="247" t="s">
        <v>76</v>
      </c>
      <c r="C72" s="248"/>
      <c r="D72" s="249">
        <v>0</v>
      </c>
      <c r="E72" s="250"/>
    </row>
    <row r="73" spans="2:5" ht="13.9" x14ac:dyDescent="0.4">
      <c r="B73" s="3" t="s">
        <v>39</v>
      </c>
      <c r="C73" s="59"/>
    </row>
    <row r="74" spans="2:5" ht="13.9" x14ac:dyDescent="0.4">
      <c r="B74" s="3" t="s">
        <v>40</v>
      </c>
      <c r="C74" s="59"/>
    </row>
    <row r="75" spans="2:5" ht="13.9" x14ac:dyDescent="0.4">
      <c r="B75" s="3" t="s">
        <v>41</v>
      </c>
      <c r="C75" s="59"/>
    </row>
    <row r="76" spans="2:5" ht="13.9" x14ac:dyDescent="0.4">
      <c r="B76" s="86" t="s">
        <v>43</v>
      </c>
      <c r="C76" s="120"/>
    </row>
    <row r="77" spans="2:5" ht="14.25" thickBot="1" x14ac:dyDescent="0.45">
      <c r="B77" s="80" t="s">
        <v>16</v>
      </c>
      <c r="C77" s="83"/>
    </row>
    <row r="78" spans="2:5" ht="14.25" thickTop="1" x14ac:dyDescent="0.4">
      <c r="B78" s="3" t="s">
        <v>62</v>
      </c>
      <c r="C78" s="59"/>
    </row>
    <row r="79" spans="2:5" ht="13.9" x14ac:dyDescent="0.4">
      <c r="B79" s="3" t="s">
        <v>64</v>
      </c>
      <c r="C79" s="59"/>
    </row>
    <row r="80" spans="2:5" ht="13.9" x14ac:dyDescent="0.4">
      <c r="B80" s="3" t="s">
        <v>66</v>
      </c>
      <c r="C80" s="59"/>
    </row>
    <row r="81" spans="2:8" ht="13.9" x14ac:dyDescent="0.4">
      <c r="B81" s="86" t="s">
        <v>67</v>
      </c>
      <c r="C81" s="120"/>
    </row>
    <row r="82" spans="2:8" ht="14.25" thickBot="1" x14ac:dyDescent="0.45">
      <c r="B82" s="80" t="s">
        <v>85</v>
      </c>
      <c r="C82" s="83"/>
    </row>
    <row r="83" spans="2:8" ht="14.25" thickTop="1" x14ac:dyDescent="0.4">
      <c r="B83" s="73" t="s">
        <v>222</v>
      </c>
      <c r="C83" s="59"/>
    </row>
    <row r="84" spans="2:8" ht="13.9" x14ac:dyDescent="0.4">
      <c r="B84" s="20" t="s">
        <v>91</v>
      </c>
      <c r="C84" s="59"/>
    </row>
    <row r="85" spans="2:8" ht="13.9" x14ac:dyDescent="0.4">
      <c r="B85" s="20" t="s">
        <v>93</v>
      </c>
      <c r="C85" s="59"/>
    </row>
    <row r="86" spans="2:8" ht="13.9" x14ac:dyDescent="0.4">
      <c r="B86" s="10" t="s">
        <v>254</v>
      </c>
      <c r="C86" s="198">
        <v>5</v>
      </c>
    </row>
    <row r="87" spans="2:8" ht="13.9" x14ac:dyDescent="0.4">
      <c r="B87" s="10" t="s">
        <v>252</v>
      </c>
      <c r="C87" s="237" t="s">
        <v>255</v>
      </c>
    </row>
    <row r="89" spans="2:8" ht="13.5" x14ac:dyDescent="0.35">
      <c r="B89" s="106" t="s">
        <v>128</v>
      </c>
      <c r="C89" s="268">
        <f>C24</f>
        <v>45291</v>
      </c>
      <c r="D89" s="268"/>
      <c r="E89" s="89" t="s">
        <v>208</v>
      </c>
      <c r="F89" s="50" t="s">
        <v>207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69" t="s">
        <v>101</v>
      </c>
      <c r="D90" s="269"/>
      <c r="E90" s="236" t="s">
        <v>102</v>
      </c>
      <c r="F90" s="256" t="s">
        <v>102</v>
      </c>
    </row>
    <row r="91" spans="2:8" ht="13.9" x14ac:dyDescent="0.4">
      <c r="B91" s="3" t="s">
        <v>127</v>
      </c>
      <c r="C91" s="77">
        <f>C25</f>
        <v>3816679</v>
      </c>
      <c r="D91" s="210"/>
      <c r="E91" s="252">
        <f>C91</f>
        <v>3816679</v>
      </c>
      <c r="F91" s="252">
        <f>C91</f>
        <v>3816679</v>
      </c>
    </row>
    <row r="92" spans="2:8" ht="13.9" x14ac:dyDescent="0.4">
      <c r="B92" s="104" t="s">
        <v>106</v>
      </c>
      <c r="C92" s="77">
        <f>C26</f>
        <v>3135568</v>
      </c>
      <c r="D92" s="160">
        <f>C92/C91</f>
        <v>0.82154354610382485</v>
      </c>
      <c r="E92" s="253">
        <f>E91*D92</f>
        <v>3135568</v>
      </c>
      <c r="F92" s="253">
        <f>F91*D92</f>
        <v>3135568</v>
      </c>
    </row>
    <row r="93" spans="2:8" ht="13.9" x14ac:dyDescent="0.4">
      <c r="B93" s="104" t="s">
        <v>251</v>
      </c>
      <c r="C93" s="77">
        <f>C27+C28</f>
        <v>420868</v>
      </c>
      <c r="D93" s="160">
        <f>C93/C91</f>
        <v>0.1102707353696761</v>
      </c>
      <c r="E93" s="253">
        <f>E91*D93</f>
        <v>420868</v>
      </c>
      <c r="F93" s="253">
        <f>F91*D93</f>
        <v>420868</v>
      </c>
    </row>
    <row r="94" spans="2:8" ht="13.9" x14ac:dyDescent="0.4">
      <c r="B94" s="104" t="s">
        <v>261</v>
      </c>
      <c r="C94" s="77">
        <f>C29</f>
        <v>7599</v>
      </c>
      <c r="D94" s="160">
        <f>C94/C91</f>
        <v>1.9909979330197799E-3</v>
      </c>
      <c r="E94" s="254"/>
      <c r="F94" s="253">
        <f>F91*D94</f>
        <v>7599.0000000000009</v>
      </c>
    </row>
    <row r="95" spans="2:8" ht="13.9" x14ac:dyDescent="0.4">
      <c r="B95" s="28" t="s">
        <v>250</v>
      </c>
      <c r="C95" s="77">
        <f>ABS(MAX(C33,0)-C32)</f>
        <v>0</v>
      </c>
      <c r="D95" s="160">
        <f>C95/C91</f>
        <v>0</v>
      </c>
      <c r="E95" s="253">
        <f>E91*D95</f>
        <v>0</v>
      </c>
      <c r="F95" s="253">
        <f>F91*D95</f>
        <v>0</v>
      </c>
    </row>
    <row r="96" spans="2:8" ht="13.9" x14ac:dyDescent="0.4">
      <c r="B96" s="28" t="s">
        <v>110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173</v>
      </c>
      <c r="C97" s="77">
        <f>MAX(C30,0)/(1-C16)</f>
        <v>0</v>
      </c>
      <c r="D97" s="160">
        <f>C97/C91</f>
        <v>0</v>
      </c>
      <c r="E97" s="254"/>
      <c r="F97" s="253">
        <f>F91*D97</f>
        <v>0</v>
      </c>
    </row>
    <row r="98" spans="2:7" ht="13.9" x14ac:dyDescent="0.4">
      <c r="B98" s="86" t="s">
        <v>209</v>
      </c>
      <c r="C98" s="238">
        <f>C44</f>
        <v>0.1</v>
      </c>
      <c r="D98" s="267"/>
      <c r="E98" s="255">
        <f>F98</f>
        <v>0.06</v>
      </c>
      <c r="F98" s="255">
        <v>0.06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"Y,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Normal="100" workbookViewId="0">
      <selection activeCell="C17" sqref="C17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0468.HK : 紛美包裝</v>
      </c>
      <c r="D2" s="87"/>
      <c r="E2" s="7"/>
      <c r="F2" s="7"/>
      <c r="G2" s="86"/>
      <c r="H2" s="86"/>
    </row>
    <row r="3" spans="1:10" ht="15.75" customHeight="1" x14ac:dyDescent="0.4">
      <c r="B3" s="3" t="s">
        <v>196</v>
      </c>
      <c r="C3" s="274" t="str">
        <f>Inputs!C4</f>
        <v>0468.HK</v>
      </c>
      <c r="D3" s="275"/>
      <c r="E3" s="87"/>
      <c r="F3" s="3" t="s">
        <v>1</v>
      </c>
      <c r="G3" s="132">
        <v>2.5</v>
      </c>
      <c r="H3" s="134" t="s">
        <v>2</v>
      </c>
    </row>
    <row r="4" spans="1:10" ht="15.75" customHeight="1" x14ac:dyDescent="0.4">
      <c r="B4" s="35" t="s">
        <v>197</v>
      </c>
      <c r="C4" s="276" t="str">
        <f>Inputs!C5</f>
        <v>紛美包裝</v>
      </c>
      <c r="D4" s="277"/>
      <c r="E4" s="87"/>
      <c r="F4" s="3" t="s">
        <v>3</v>
      </c>
      <c r="G4" s="280">
        <f>Inputs!C10</f>
        <v>1407129000</v>
      </c>
      <c r="H4" s="280"/>
      <c r="I4" s="39"/>
    </row>
    <row r="5" spans="1:10" ht="15.75" customHeight="1" x14ac:dyDescent="0.4">
      <c r="B5" s="3" t="s">
        <v>164</v>
      </c>
      <c r="C5" s="278">
        <f>Inputs!C6</f>
        <v>45605</v>
      </c>
      <c r="D5" s="279"/>
      <c r="E5" s="34"/>
      <c r="F5" s="35" t="s">
        <v>100</v>
      </c>
      <c r="G5" s="272">
        <f>G3*G4/1000000</f>
        <v>3517.8225000000002</v>
      </c>
      <c r="H5" s="272"/>
      <c r="I5" s="38"/>
      <c r="J5" s="28"/>
    </row>
    <row r="6" spans="1:10" ht="15.75" customHeight="1" x14ac:dyDescent="0.4">
      <c r="B6" s="87" t="s">
        <v>4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73" t="str">
        <f>Inputs!C11</f>
        <v>CNY</v>
      </c>
      <c r="H6" s="273"/>
      <c r="I6" s="38"/>
    </row>
    <row r="7" spans="1:10" ht="15.75" customHeight="1" x14ac:dyDescent="0.4">
      <c r="B7" s="86" t="s">
        <v>194</v>
      </c>
      <c r="C7" s="188" t="str">
        <f>Inputs!C8</f>
        <v>Y</v>
      </c>
      <c r="D7" s="188" t="str">
        <f>Inputs!C9</f>
        <v>C0007</v>
      </c>
      <c r="E7" s="87"/>
      <c r="F7" s="35" t="s">
        <v>6</v>
      </c>
      <c r="G7" s="133">
        <v>1.0734910170237224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192</v>
      </c>
      <c r="F9" s="143" t="s">
        <v>187</v>
      </c>
    </row>
    <row r="10" spans="1:10" ht="15.75" customHeight="1" x14ac:dyDescent="0.4">
      <c r="B10" s="1" t="s">
        <v>177</v>
      </c>
      <c r="C10" s="173">
        <v>4.2099999999999999E-2</v>
      </c>
      <c r="F10" s="110" t="s">
        <v>184</v>
      </c>
    </row>
    <row r="11" spans="1:10" ht="15.75" customHeight="1" thickBot="1" x14ac:dyDescent="0.45">
      <c r="B11" s="122" t="s">
        <v>181</v>
      </c>
      <c r="C11" s="174">
        <v>5.3099999999999994E-2</v>
      </c>
      <c r="D11" s="137" t="s">
        <v>191</v>
      </c>
      <c r="F11" s="110" t="s">
        <v>179</v>
      </c>
    </row>
    <row r="12" spans="1:10" ht="15.75" customHeight="1" thickTop="1" x14ac:dyDescent="0.4">
      <c r="B12" s="87" t="s">
        <v>258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178</v>
      </c>
      <c r="C14" s="173">
        <v>2.1309999999999999E-2</v>
      </c>
      <c r="F14" s="110" t="s">
        <v>183</v>
      </c>
    </row>
    <row r="15" spans="1:10" ht="15.75" customHeight="1" x14ac:dyDescent="0.4">
      <c r="B15" s="1" t="s">
        <v>188</v>
      </c>
      <c r="C15" s="173">
        <v>6.5000000000000002E-2</v>
      </c>
      <c r="F15" s="110" t="s">
        <v>182</v>
      </c>
    </row>
    <row r="16" spans="1:10" ht="15.75" customHeight="1" thickBot="1" x14ac:dyDescent="0.45">
      <c r="B16" s="122" t="s">
        <v>189</v>
      </c>
      <c r="C16" s="174">
        <v>0.16</v>
      </c>
      <c r="D16" s="266" t="str">
        <f>Inputs!C15</f>
        <v>CN</v>
      </c>
      <c r="F16" s="110" t="s">
        <v>180</v>
      </c>
    </row>
    <row r="17" spans="1:8" ht="15.75" customHeight="1" thickTop="1" x14ac:dyDescent="0.4">
      <c r="B17" s="87" t="s">
        <v>259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185</v>
      </c>
      <c r="C19" s="135" t="s">
        <v>52</v>
      </c>
      <c r="D19" s="87"/>
      <c r="E19" s="87"/>
      <c r="F19" s="142" t="s">
        <v>214</v>
      </c>
      <c r="G19" s="87"/>
      <c r="H19" s="87"/>
    </row>
    <row r="20" spans="1:8" ht="15.75" customHeight="1" x14ac:dyDescent="0.4">
      <c r="B20" s="137" t="s">
        <v>170</v>
      </c>
      <c r="C20" s="172">
        <f>Fin_Analysis!I75</f>
        <v>0.82154354610382485</v>
      </c>
      <c r="F20" s="87" t="s">
        <v>213</v>
      </c>
      <c r="G20" s="173">
        <v>0.15</v>
      </c>
    </row>
    <row r="21" spans="1:8" ht="15.75" customHeight="1" x14ac:dyDescent="0.4">
      <c r="B21" s="137" t="s">
        <v>248</v>
      </c>
      <c r="C21" s="172">
        <f>Fin_Analysis!I77</f>
        <v>0.1102707353696761</v>
      </c>
      <c r="F21" s="87"/>
      <c r="G21" s="29"/>
    </row>
    <row r="22" spans="1:8" ht="15.75" customHeight="1" x14ac:dyDescent="0.4">
      <c r="B22" s="137" t="s">
        <v>193</v>
      </c>
      <c r="C22" s="172">
        <f>Fin_Analysis!I78</f>
        <v>0</v>
      </c>
      <c r="F22" s="142" t="s">
        <v>186</v>
      </c>
    </row>
    <row r="23" spans="1:8" ht="15.75" customHeight="1" x14ac:dyDescent="0.4">
      <c r="B23" s="137" t="s">
        <v>172</v>
      </c>
      <c r="C23" s="172">
        <f>Fin_Analysis!I80</f>
        <v>0</v>
      </c>
      <c r="F23" s="140" t="s">
        <v>190</v>
      </c>
      <c r="G23" s="178" t="e">
        <f>G3/(Data!C36*Data!C4/Common_Shares*Exchange_Rate)</f>
        <v>#DIV/0!</v>
      </c>
    </row>
    <row r="24" spans="1:8" ht="15.75" customHeight="1" x14ac:dyDescent="0.4">
      <c r="B24" s="137" t="s">
        <v>171</v>
      </c>
      <c r="C24" s="172">
        <f>Fin_Analysis!I81</f>
        <v>1.9909979330197799E-3</v>
      </c>
      <c r="F24" s="140" t="s">
        <v>176</v>
      </c>
      <c r="G24" s="179">
        <f>(Fin_Analysis!H86*G7)/G3</f>
        <v>5.7822217686852029E-2</v>
      </c>
    </row>
    <row r="25" spans="1:8" ht="15.75" customHeight="1" x14ac:dyDescent="0.4">
      <c r="B25" s="137" t="s">
        <v>247</v>
      </c>
      <c r="C25" s="172">
        <f>Fin_Analysis!I82</f>
        <v>0</v>
      </c>
      <c r="F25" s="140" t="s">
        <v>175</v>
      </c>
      <c r="G25" s="172">
        <f>Fin_Analysis!I88</f>
        <v>0.44556894286030935</v>
      </c>
    </row>
    <row r="26" spans="1:8" ht="15.75" customHeight="1" x14ac:dyDescent="0.4">
      <c r="B26" s="138" t="s">
        <v>174</v>
      </c>
      <c r="C26" s="172">
        <f>Fin_Analysis!I83</f>
        <v>6.6194720593479306E-2</v>
      </c>
      <c r="F26" s="141" t="s">
        <v>195</v>
      </c>
      <c r="G26" s="179">
        <f>Fin_Analysis!H88*Exchange_Rate/G3</f>
        <v>2.5763784408569336E-2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167</v>
      </c>
      <c r="D28" s="43" t="s">
        <v>168</v>
      </c>
      <c r="E28" s="58"/>
      <c r="F28" s="53" t="s">
        <v>241</v>
      </c>
      <c r="G28" s="270" t="s">
        <v>262</v>
      </c>
      <c r="H28" s="270"/>
    </row>
    <row r="29" spans="1:8" ht="15.75" customHeight="1" x14ac:dyDescent="0.4">
      <c r="B29" s="87" t="s">
        <v>169</v>
      </c>
      <c r="C29" s="130">
        <f>IF(Fin_Analysis!C108="Profit",Fin_Analysis!D100,IF(Fin_Analysis!C108="Dividend",Fin_Analysis!D103,Fin_Analysis!D106))</f>
        <v>1.1238164954512302</v>
      </c>
      <c r="D29" s="129">
        <f>G29*(1+G20)</f>
        <v>2.1601782649801553</v>
      </c>
      <c r="E29" s="87"/>
      <c r="F29" s="131">
        <f>IF(Fin_Analysis!C108="Profit",Fin_Analysis!F100,IF(Fin_Analysis!C108="Dividend",Fin_Analysis!F103,Fin_Analysis!F106))</f>
        <v>1.3221370534720356</v>
      </c>
      <c r="G29" s="271">
        <f>IF(Fin_Analysis!C108="Profit",Fin_Analysis!I100,IF(Fin_Analysis!C108="Dividend",Fin_Analysis!I103,Fin_Analysis!I106))</f>
        <v>1.8784158825914394</v>
      </c>
      <c r="H29" s="271"/>
    </row>
    <row r="30" spans="1:8" ht="15.75" customHeight="1" x14ac:dyDescent="0.4"/>
    <row r="31" spans="1:8" ht="15.75" customHeight="1" x14ac:dyDescent="0.4">
      <c r="A31" s="5"/>
      <c r="B31" s="6" t="s">
        <v>224</v>
      </c>
      <c r="C31"/>
    </row>
    <row r="32" spans="1:8" ht="15.75" customHeight="1" x14ac:dyDescent="0.4">
      <c r="A32"/>
      <c r="B32" s="197" t="s">
        <v>225</v>
      </c>
      <c r="C32" s="225"/>
    </row>
    <row r="33" spans="1:3" ht="15.75" customHeight="1" x14ac:dyDescent="0.4">
      <c r="A33"/>
      <c r="B33" s="20" t="s">
        <v>226</v>
      </c>
      <c r="C33" s="246" t="str">
        <f>Inputs!C17</f>
        <v>agree</v>
      </c>
    </row>
    <row r="34" spans="1:3" ht="15.75" customHeight="1" x14ac:dyDescent="0.4">
      <c r="A34"/>
      <c r="B34" s="19" t="s">
        <v>227</v>
      </c>
      <c r="C34" s="226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7" t="s">
        <v>228</v>
      </c>
      <c r="C35" s="225"/>
    </row>
    <row r="36" spans="1:3" ht="15.75" customHeight="1" x14ac:dyDescent="0.4">
      <c r="A36"/>
      <c r="B36" s="20" t="s">
        <v>242</v>
      </c>
      <c r="C36" s="246" t="str">
        <f>Inputs!C18</f>
        <v>unclear</v>
      </c>
    </row>
    <row r="37" spans="1:3" ht="15.75" customHeight="1" x14ac:dyDescent="0.4">
      <c r="A37"/>
      <c r="B37" s="20" t="s">
        <v>243</v>
      </c>
      <c r="C37" s="246" t="str">
        <f>Inputs!C19</f>
        <v>agree</v>
      </c>
    </row>
    <row r="38" spans="1:3" ht="15.75" customHeight="1" x14ac:dyDescent="0.4">
      <c r="A38"/>
      <c r="B38" s="197" t="s">
        <v>229</v>
      </c>
      <c r="C38" s="225"/>
    </row>
    <row r="39" spans="1:3" ht="15.75" customHeight="1" x14ac:dyDescent="0.4">
      <c r="A39"/>
      <c r="B39" s="19" t="s">
        <v>230</v>
      </c>
      <c r="C39" s="246" t="str">
        <f>Inputs!C20</f>
        <v>agree</v>
      </c>
    </row>
    <row r="40" spans="1:3" ht="15.75" customHeight="1" x14ac:dyDescent="0.4">
      <c r="A40"/>
      <c r="B40" s="1" t="s">
        <v>235</v>
      </c>
      <c r="C40" s="246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231</v>
      </c>
      <c r="C42"/>
    </row>
    <row r="43" spans="1:3" ht="65.650000000000006" x14ac:dyDescent="0.4">
      <c r="A43"/>
      <c r="B43" s="227" t="s">
        <v>232</v>
      </c>
      <c r="C43" s="245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4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9" t="s">
        <v>201</v>
      </c>
      <c r="F2" s="119" t="s">
        <v>204</v>
      </c>
      <c r="G2" s="149" t="s">
        <v>205</v>
      </c>
      <c r="H2" s="148" t="s">
        <v>206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2">
        <f>Inputs!C12</f>
        <v>45291</v>
      </c>
      <c r="E3" s="147" t="s">
        <v>202</v>
      </c>
      <c r="F3" s="85" t="str">
        <f>H14</f>
        <v/>
      </c>
      <c r="G3" s="85">
        <f>C14</f>
        <v>260243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</v>
      </c>
      <c r="D4" s="1" t="str">
        <f>Dashboard!G6</f>
        <v>CNY</v>
      </c>
      <c r="E4" s="147" t="s">
        <v>203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1">
        <f>IF(Inputs!C25=""," ",Inputs!C25)</f>
        <v>3816679</v>
      </c>
      <c r="D6" s="201">
        <f>IF(Inputs!D25="","",Inputs!D25)</f>
        <v>3937011</v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-3.0564303731942855E-2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106</v>
      </c>
      <c r="C8" s="200">
        <f>IF(Inputs!C26="","",Inputs!C26)</f>
        <v>3135568</v>
      </c>
      <c r="D8" s="200">
        <f>IF(Inputs!D26="","",Inputs!D26)</f>
        <v>3349048</v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103</v>
      </c>
      <c r="C9" s="152">
        <f t="shared" ref="C9:M9" si="2">IF(C6="","",(C6-C8))</f>
        <v>681111</v>
      </c>
      <c r="D9" s="152">
        <f t="shared" si="2"/>
        <v>587963</v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104</v>
      </c>
      <c r="C10" s="200">
        <f>IF(Inputs!C27="","",Inputs!C27)</f>
        <v>420868</v>
      </c>
      <c r="D10" s="200">
        <f>IF(Inputs!D27="","",Inputs!D27)</f>
        <v>424202</v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107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244</v>
      </c>
      <c r="C12" s="200" t="str">
        <f>IF(Inputs!C30="","",MAX(Inputs!C30,0)/(1-Fin_Analysis!$I$84))</f>
        <v/>
      </c>
      <c r="D12" s="200" t="str">
        <f>IF(Inputs!D30="","",MAX(Inputs!D30,0)/(1-Fin_Analysis!$I$84))</f>
        <v/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245</v>
      </c>
      <c r="C13" s="230">
        <f t="shared" ref="C13:M13" si="3">IF(C14="","",C14/C6)</f>
        <v>6.8185718526499087E-2</v>
      </c>
      <c r="D13" s="230">
        <f t="shared" si="3"/>
        <v>4.1595260973362788E-2</v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237</v>
      </c>
      <c r="C14" s="231">
        <f>IF(C6="","",C9-C10-MAX(C11,0)-MAX(C12,0))</f>
        <v>260243</v>
      </c>
      <c r="D14" s="231">
        <f t="shared" ref="D14:M14" si="4">IF(D6="","",D9-D10-MAX(D11,0)-MAX(D12,0))</f>
        <v>163761</v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246</v>
      </c>
      <c r="C15" s="233">
        <f>IF(D14="","",IF(ABS(C14+D14)=ABS(C14)+ABS(D14),IF(C14&lt;0,-1,1)*(C14-D14)/D14,"Turn"))</f>
        <v>0.58916347604130415</v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110</v>
      </c>
      <c r="C16" s="200" t="str">
        <f>IF(Inputs!C31="","",Inputs!C31)</f>
        <v/>
      </c>
      <c r="D16" s="200" t="str">
        <f>IF(Inputs!D31="","",Inputs!D31)</f>
        <v/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261</v>
      </c>
      <c r="C17" s="200">
        <f>IF(Inputs!C29="","",Inputs!C29)</f>
        <v>7599</v>
      </c>
      <c r="D17" s="200">
        <f>IF(Inputs!D29="","",Inputs!D29)</f>
        <v>5443</v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99</v>
      </c>
      <c r="C18" s="153" t="str">
        <f t="shared" ref="C18:M18" si="6">IF(OR(C6="",C19=""),"",C19/C6)</f>
        <v/>
      </c>
      <c r="D18" s="153" t="str">
        <f t="shared" si="6"/>
        <v/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105</v>
      </c>
      <c r="C19" s="200" t="str">
        <f>IF(Inputs!C32="","",Inputs!C32)</f>
        <v/>
      </c>
      <c r="D19" s="200" t="str">
        <f>IF(Inputs!D32="","",Inputs!D32)</f>
        <v/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239</v>
      </c>
      <c r="C20" s="153">
        <f t="shared" ref="C20:M20" si="7">IF(C6="","",MAX(C21,0)/C6)</f>
        <v>0</v>
      </c>
      <c r="D20" s="153">
        <f t="shared" si="7"/>
        <v>0</v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108</v>
      </c>
      <c r="C21" s="200" t="str">
        <f>IF(Inputs!C33="","",Inputs!C33)</f>
        <v/>
      </c>
      <c r="D21" s="200" t="str">
        <f>IF(Inputs!D33="","",Inputs!D33)</f>
        <v/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112</v>
      </c>
      <c r="C22" s="162">
        <f>IF(C6="","",C14-MAX(C16,0)-MAX(C17,0)-ABS(MAX(C21,0)-MAX(C19,0)))</f>
        <v>252644</v>
      </c>
      <c r="D22" s="162">
        <f t="shared" ref="D22:M22" si="8">IF(D6="","",D14-MAX(D16,0)-MAX(D17,0)-ABS(MAX(D21,0)-MAX(D19,0)))</f>
        <v>158318</v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113</v>
      </c>
      <c r="C23" s="154">
        <f t="shared" ref="C23:M23" si="9">IF(C6="","",C24/C6)</f>
        <v>4.9646040445109479E-2</v>
      </c>
      <c r="D23" s="154">
        <f t="shared" si="9"/>
        <v>3.0159555053313289E-2</v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114</v>
      </c>
      <c r="C24" s="155">
        <f>IF(C6="","",C22*(1-Fin_Analysis!$I$84))</f>
        <v>189483</v>
      </c>
      <c r="D24" s="77">
        <f>IF(D6="","",D22*(1-Fin_Analysis!$I$84))</f>
        <v>118738.5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129</v>
      </c>
      <c r="C25" s="234">
        <f>IF(D24="","",IF(ABS(C24+D24)=ABS(C24)+ABS(D24),IF(C24&lt;0,-1,1)*(C24-D24)/D24,"Turn"))</f>
        <v>0.59580085650399828</v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135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0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117</v>
      </c>
      <c r="C29" s="65">
        <f>Fin_Analysis!C13</f>
        <v>0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149</v>
      </c>
      <c r="C30" s="65">
        <f>Fin_Analysis!C18</f>
        <v>0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0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116</v>
      </c>
      <c r="C32" s="65">
        <f>Fin_Analysis!I48</f>
        <v>0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138</v>
      </c>
      <c r="C36" s="65">
        <f>Fin_Analysis!D3</f>
        <v>0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139</v>
      </c>
      <c r="C37" s="65">
        <f>Fin_Analysis!D4</f>
        <v>0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137</v>
      </c>
      <c r="C38" s="65">
        <f>Fin_Analysis!C63</f>
        <v>0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141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158</v>
      </c>
      <c r="C40" s="156" t="e">
        <f>IF(C6="","",C14/MAX(C39,0))</f>
        <v>#DIV/0!</v>
      </c>
      <c r="D40" s="156" t="e">
        <f>IF(D6="","",D14/MAX(D39,0))</f>
        <v>#DIV/0!</v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256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98</v>
      </c>
      <c r="C42" s="157">
        <f t="shared" ref="C42:M42" si="34">IF(C6="","",C8/C6)</f>
        <v>0.82154354610382485</v>
      </c>
      <c r="D42" s="157">
        <f t="shared" si="34"/>
        <v>0.85065751657793187</v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238</v>
      </c>
      <c r="C43" s="154">
        <f t="shared" ref="C43:M43" si="35">IF(C6="","",(C10+MAX(C11,0))/C6)</f>
        <v>0.1102707353696761</v>
      </c>
      <c r="D43" s="154">
        <f t="shared" si="35"/>
        <v>0.10774722244870538</v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109</v>
      </c>
      <c r="C44" s="154">
        <f t="shared" ref="C44:M44" si="36">IF(C6="","",MAX(C16,0)/C6)</f>
        <v>0</v>
      </c>
      <c r="D44" s="154">
        <f t="shared" si="36"/>
        <v>0</v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122</v>
      </c>
      <c r="C45" s="154">
        <f t="shared" ref="C45:M45" si="37">IF(C6="","",MAX(C17,0)/C6)</f>
        <v>1.9909979330197799E-3</v>
      </c>
      <c r="D45" s="154">
        <f t="shared" si="37"/>
        <v>1.3825209022784036E-3</v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130</v>
      </c>
      <c r="C46" s="154">
        <f>IF(C6="","",MAX(C12,0)/C6)</f>
        <v>0</v>
      </c>
      <c r="D46" s="154">
        <f t="shared" ref="D46:M46" si="38">IF(D6="","",MAX(D12,0)/D6)</f>
        <v>0</v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240</v>
      </c>
      <c r="C47" s="154">
        <f>IF(C6="","",ABS(MAX(C21,0)-MAX(C19,0))/C6)</f>
        <v>0</v>
      </c>
      <c r="D47" s="154">
        <f t="shared" ref="D47:M47" si="39">IF(D6="","",ABS(MAX(D21,0)-MAX(D19,0))/D6)</f>
        <v>0</v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124</v>
      </c>
      <c r="C48" s="154">
        <f t="shared" ref="C48:M48" si="40">IF(C6="","",C22/C6)</f>
        <v>6.6194720593479306E-2</v>
      </c>
      <c r="D48" s="154">
        <f t="shared" si="40"/>
        <v>4.0212740071084385E-2</v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150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147</v>
      </c>
      <c r="C50" s="157">
        <f t="shared" ref="C50:M50" si="41">IF(C29="","",C29/C6)</f>
        <v>0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148</v>
      </c>
      <c r="C51" s="154">
        <f t="shared" ref="C51:M51" si="42">IF(C30="","",C30/C6)</f>
        <v>0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125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57" t="e">
        <f>IF(C36="","",(C27-C36)/C27)</f>
        <v>#DIV/0!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121</v>
      </c>
      <c r="C54" s="158" t="str">
        <f t="shared" ref="C54:M54" si="44">IF(OR(C22="",C35=""),"",IF(C35&lt;=0,"-",C22/C35))</f>
        <v>-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123</v>
      </c>
      <c r="C55" s="154">
        <f t="shared" ref="C55:M55" si="45">IF(C22="","",IF(MAX(C17,0)&lt;=0,"-",C17/C22))</f>
        <v>3.0077896170104972E-2</v>
      </c>
      <c r="D55" s="154">
        <f t="shared" si="45"/>
        <v>3.4380171553455706E-2</v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21</v>
      </c>
      <c r="C56" s="159" t="e">
        <f t="shared" ref="C56:M56" si="46">IF(C28="","",C28/C31)</f>
        <v>#DIV/0!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05">
        <f>Inputs!C83</f>
        <v>0</v>
      </c>
      <c r="K3" s="24"/>
    </row>
    <row r="4" spans="1:11" ht="15" customHeight="1" x14ac:dyDescent="0.4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198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Inputs!C48</f>
        <v>0</v>
      </c>
      <c r="D11" s="199">
        <f>Inputs!D48</f>
        <v>0.9</v>
      </c>
      <c r="E11" s="88">
        <f t="shared" ref="E11:E22" si="0">C11*D11</f>
        <v>0</v>
      </c>
      <c r="F11" s="112"/>
      <c r="G11" s="87"/>
      <c r="H11" s="3" t="s">
        <v>39</v>
      </c>
      <c r="I11" s="40">
        <f>Inputs!C73</f>
        <v>0</v>
      </c>
      <c r="J11" s="87"/>
      <c r="K11" s="24"/>
    </row>
    <row r="12" spans="1:11" ht="13.9" x14ac:dyDescent="0.4">
      <c r="B12" s="1" t="s">
        <v>136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40</v>
      </c>
      <c r="I12" s="40">
        <f>Inputs!C74</f>
        <v>0</v>
      </c>
      <c r="J12" s="87"/>
      <c r="K12" s="24"/>
    </row>
    <row r="13" spans="1:11" ht="13.9" x14ac:dyDescent="0.4">
      <c r="B13" s="3" t="s">
        <v>117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41</v>
      </c>
      <c r="I13" s="40">
        <f>Inputs!C75</f>
        <v>0</v>
      </c>
      <c r="J13" s="87"/>
      <c r="K13" s="26"/>
    </row>
    <row r="14" spans="1:11" ht="13.9" x14ac:dyDescent="0.4">
      <c r="B14" s="3" t="s">
        <v>42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43</v>
      </c>
      <c r="I14" s="206">
        <f>Inputs!C76</f>
        <v>0</v>
      </c>
      <c r="J14" s="87"/>
      <c r="K14" s="27"/>
    </row>
    <row r="15" spans="1:11" ht="13.9" x14ac:dyDescent="0.4">
      <c r="B15" s="3" t="s">
        <v>44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54</v>
      </c>
      <c r="I15" s="84">
        <f>SUM(I11:I14)</f>
        <v>0</v>
      </c>
      <c r="J15" s="87"/>
    </row>
    <row r="16" spans="1:11" ht="13.9" x14ac:dyDescent="0.4">
      <c r="B16" s="1" t="s">
        <v>159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118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48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120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51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52</v>
      </c>
      <c r="G23" s="87"/>
    </row>
    <row r="24" spans="2:10" ht="15" customHeight="1" x14ac:dyDescent="0.4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4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16</v>
      </c>
      <c r="I28" s="207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62</v>
      </c>
      <c r="I30" s="40">
        <f>Inputs!C78</f>
        <v>0</v>
      </c>
      <c r="J30" s="87"/>
    </row>
    <row r="31" spans="2:10" ht="15" customHeight="1" x14ac:dyDescent="0.4">
      <c r="B31" s="3" t="s">
        <v>63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64</v>
      </c>
      <c r="I31" s="40">
        <f>Inputs!C79</f>
        <v>0</v>
      </c>
      <c r="J31" s="87"/>
    </row>
    <row r="32" spans="2:10" ht="15" customHeight="1" x14ac:dyDescent="0.4">
      <c r="B32" s="3" t="s">
        <v>65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66</v>
      </c>
      <c r="I32" s="40">
        <f>Inputs!C80</f>
        <v>0</v>
      </c>
      <c r="J32" s="87"/>
    </row>
    <row r="33" spans="2:10" ht="13.9" x14ac:dyDescent="0.4">
      <c r="B33" s="1" t="s">
        <v>160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06">
        <f>Inputs!C81</f>
        <v>0</v>
      </c>
      <c r="J33" s="87"/>
    </row>
    <row r="34" spans="2:10" ht="13.9" x14ac:dyDescent="0.4">
      <c r="B34" s="3" t="s">
        <v>68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78</v>
      </c>
      <c r="I34" s="84">
        <f>SUM(I30:I33)</f>
        <v>0</v>
      </c>
      <c r="J34" s="87"/>
    </row>
    <row r="35" spans="2:10" ht="13.9" x14ac:dyDescent="0.4">
      <c r="B35" s="3" t="s">
        <v>70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119</v>
      </c>
      <c r="C38" s="40">
        <f>Inputs!C68</f>
        <v>0</v>
      </c>
      <c r="D38" s="199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73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74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75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76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08">
        <f>Inputs!C82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151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81">
        <f>I15+I34</f>
        <v>0</v>
      </c>
      <c r="E56" s="279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80">
        <f>Inputs!C84</f>
        <v>0</v>
      </c>
      <c r="E57" s="279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80">
        <f>Inputs!C85</f>
        <v>0</v>
      </c>
      <c r="E58" s="279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140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142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152</v>
      </c>
      <c r="C64" s="209"/>
      <c r="D64" s="209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143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141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153</v>
      </c>
      <c r="C69" s="209"/>
      <c r="D69" s="209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144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128</v>
      </c>
      <c r="C72" s="268">
        <f>Data!C5</f>
        <v>45291</v>
      </c>
      <c r="D72" s="268"/>
      <c r="E72" s="282" t="s">
        <v>208</v>
      </c>
      <c r="F72" s="282"/>
      <c r="H72" s="282" t="s">
        <v>207</v>
      </c>
      <c r="I72" s="282"/>
      <c r="K72" s="50" t="s">
        <v>8</v>
      </c>
    </row>
    <row r="73" spans="1:11" ht="15" customHeight="1" x14ac:dyDescent="0.4">
      <c r="B73" s="12" t="str">
        <f>"(Numbers in "&amp;Data!C4&amp;Dashboard!G6&amp;")"</f>
        <v>(Numbers in 1000CNY)</v>
      </c>
      <c r="C73" s="269" t="s">
        <v>101</v>
      </c>
      <c r="D73" s="269"/>
      <c r="E73" s="283" t="s">
        <v>102</v>
      </c>
      <c r="F73" s="269"/>
      <c r="H73" s="283" t="s">
        <v>102</v>
      </c>
      <c r="I73" s="269"/>
      <c r="K73" s="24"/>
    </row>
    <row r="74" spans="1:11" ht="15" customHeight="1" x14ac:dyDescent="0.4">
      <c r="B74" s="3" t="s">
        <v>127</v>
      </c>
      <c r="C74" s="77">
        <f>Data!C6</f>
        <v>3816679</v>
      </c>
      <c r="D74" s="210"/>
      <c r="E74" s="239">
        <f>Inputs!E91</f>
        <v>3816679</v>
      </c>
      <c r="F74" s="210"/>
      <c r="H74" s="239">
        <f>Inputs!F91</f>
        <v>3816679</v>
      </c>
      <c r="I74" s="210"/>
      <c r="K74" s="24"/>
    </row>
    <row r="75" spans="1:11" ht="15" customHeight="1" x14ac:dyDescent="0.4">
      <c r="B75" s="104" t="s">
        <v>106</v>
      </c>
      <c r="C75" s="77">
        <f>Data!C8</f>
        <v>3135568</v>
      </c>
      <c r="D75" s="160">
        <f>C75/$C$74</f>
        <v>0.82154354610382485</v>
      </c>
      <c r="E75" s="239">
        <f>Inputs!E92</f>
        <v>3135568</v>
      </c>
      <c r="F75" s="161">
        <f>E75/E74</f>
        <v>0.82154354610382485</v>
      </c>
      <c r="H75" s="239">
        <f>Inputs!F92</f>
        <v>3135568</v>
      </c>
      <c r="I75" s="161">
        <f>H75/$H$74</f>
        <v>0.82154354610382485</v>
      </c>
      <c r="K75" s="24"/>
    </row>
    <row r="76" spans="1:11" ht="15" customHeight="1" x14ac:dyDescent="0.4">
      <c r="B76" s="35" t="s">
        <v>96</v>
      </c>
      <c r="C76" s="162">
        <f>C74-C75</f>
        <v>681111</v>
      </c>
      <c r="D76" s="211"/>
      <c r="E76" s="163">
        <f>E74-E75</f>
        <v>681111</v>
      </c>
      <c r="F76" s="211"/>
      <c r="H76" s="163">
        <f>H74-H75</f>
        <v>681111</v>
      </c>
      <c r="I76" s="211"/>
      <c r="K76" s="24"/>
    </row>
    <row r="77" spans="1:11" ht="15" customHeight="1" x14ac:dyDescent="0.4">
      <c r="B77" s="104" t="s">
        <v>251</v>
      </c>
      <c r="C77" s="77">
        <f>Data!C10+MAX(Data!C11,0)</f>
        <v>420868</v>
      </c>
      <c r="D77" s="160">
        <f>C77/$C$74</f>
        <v>0.1102707353696761</v>
      </c>
      <c r="E77" s="239">
        <f>Inputs!E93</f>
        <v>420868</v>
      </c>
      <c r="F77" s="161">
        <f>E77/E74</f>
        <v>0.1102707353696761</v>
      </c>
      <c r="H77" s="239">
        <f>Inputs!F93</f>
        <v>420868</v>
      </c>
      <c r="I77" s="161">
        <f>H77/$H$74</f>
        <v>0.1102707353696761</v>
      </c>
      <c r="K77" s="24"/>
    </row>
    <row r="78" spans="1:11" ht="15" customHeight="1" x14ac:dyDescent="0.4">
      <c r="B78" s="73" t="s">
        <v>173</v>
      </c>
      <c r="C78" s="77">
        <f>MAX(Data!C12,0)</f>
        <v>0</v>
      </c>
      <c r="D78" s="160">
        <f>C78/$C$74</f>
        <v>0</v>
      </c>
      <c r="E78" s="181">
        <f>E74*F78</f>
        <v>0</v>
      </c>
      <c r="F78" s="161">
        <f>I78</f>
        <v>0</v>
      </c>
      <c r="H78" s="239">
        <f>Inputs!F97</f>
        <v>0</v>
      </c>
      <c r="I78" s="161">
        <f>H78/$H$74</f>
        <v>0</v>
      </c>
      <c r="K78" s="24"/>
    </row>
    <row r="79" spans="1:11" ht="15" customHeight="1" x14ac:dyDescent="0.4">
      <c r="B79" s="257" t="s">
        <v>236</v>
      </c>
      <c r="C79" s="258">
        <f>C76-C77-C78</f>
        <v>260243</v>
      </c>
      <c r="D79" s="259">
        <f>C79/C74</f>
        <v>6.8185718526499087E-2</v>
      </c>
      <c r="E79" s="260">
        <f>E76-E77-E78</f>
        <v>260243</v>
      </c>
      <c r="F79" s="259">
        <f>E79/E74</f>
        <v>6.8185718526499087E-2</v>
      </c>
      <c r="G79" s="261"/>
      <c r="H79" s="260">
        <f>H76-H77-H78</f>
        <v>260243</v>
      </c>
      <c r="I79" s="259">
        <f>H79/H74</f>
        <v>6.8185718526499087E-2</v>
      </c>
      <c r="K79" s="24"/>
    </row>
    <row r="80" spans="1:11" ht="15" customHeight="1" x14ac:dyDescent="0.4">
      <c r="B80" s="28" t="s">
        <v>110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132</v>
      </c>
    </row>
    <row r="81" spans="1:11" ht="15" customHeight="1" x14ac:dyDescent="0.4">
      <c r="B81" s="104" t="s">
        <v>261</v>
      </c>
      <c r="C81" s="77">
        <f>MAX(Data!C17,0)</f>
        <v>7599</v>
      </c>
      <c r="D81" s="160">
        <f>C81/$C$74</f>
        <v>1.9909979330197799E-3</v>
      </c>
      <c r="E81" s="181">
        <f>E74*F81</f>
        <v>7599.0000000000009</v>
      </c>
      <c r="F81" s="161">
        <f>I81</f>
        <v>1.9909979330197799E-3</v>
      </c>
      <c r="H81" s="239">
        <f>Inputs!F94</f>
        <v>7599.0000000000009</v>
      </c>
      <c r="I81" s="161">
        <f>H81/$H$74</f>
        <v>1.9909979330197799E-3</v>
      </c>
      <c r="K81" s="24"/>
    </row>
    <row r="82" spans="1:11" ht="15" customHeight="1" x14ac:dyDescent="0.4">
      <c r="B82" s="28" t="s">
        <v>250</v>
      </c>
      <c r="C82" s="77">
        <f>ABS(MAX(Data!C21,0)-MAX(Data!C19,0))</f>
        <v>0</v>
      </c>
      <c r="D82" s="160">
        <f>C82/$C$74</f>
        <v>0</v>
      </c>
      <c r="E82" s="239">
        <f>Inputs!E95</f>
        <v>0</v>
      </c>
      <c r="F82" s="161">
        <f>E82/E74</f>
        <v>0</v>
      </c>
      <c r="H82" s="239">
        <f>Inputs!F95</f>
        <v>0</v>
      </c>
      <c r="I82" s="161">
        <f>H82/$H$74</f>
        <v>0</v>
      </c>
      <c r="K82" s="24"/>
    </row>
    <row r="83" spans="1:11" ht="15" customHeight="1" thickBot="1" x14ac:dyDescent="0.45">
      <c r="B83" s="105" t="s">
        <v>126</v>
      </c>
      <c r="C83" s="164">
        <f>C79-C81-C82-C80</f>
        <v>252644</v>
      </c>
      <c r="D83" s="165">
        <f>C83/$C$74</f>
        <v>6.6194720593479306E-2</v>
      </c>
      <c r="E83" s="166">
        <f>E79-E81-E82-E80</f>
        <v>252644</v>
      </c>
      <c r="F83" s="165">
        <f>E83/E74</f>
        <v>6.6194720593479306E-2</v>
      </c>
      <c r="H83" s="166">
        <f>H79-H81-H82-H80</f>
        <v>252644</v>
      </c>
      <c r="I83" s="165">
        <f>H83/$H$74</f>
        <v>6.6194720593479306E-2</v>
      </c>
      <c r="K83" s="24"/>
    </row>
    <row r="84" spans="1:11" ht="15" customHeight="1" thickTop="1" x14ac:dyDescent="0.4">
      <c r="B84" s="28" t="s">
        <v>97</v>
      </c>
      <c r="C84" s="212"/>
      <c r="D84" s="160">
        <f>I84</f>
        <v>0.25</v>
      </c>
      <c r="E84" s="213"/>
      <c r="F84" s="180">
        <f t="shared" ref="F84" si="3">I84</f>
        <v>0.25</v>
      </c>
      <c r="H84" s="213"/>
      <c r="I84" s="203">
        <f>Inputs!C16</f>
        <v>0.25</v>
      </c>
      <c r="K84" s="24"/>
    </row>
    <row r="85" spans="1:11" ht="15" customHeight="1" x14ac:dyDescent="0.4">
      <c r="B85" s="264" t="s">
        <v>165</v>
      </c>
      <c r="C85" s="258">
        <f>C83*(1-I84)</f>
        <v>189483</v>
      </c>
      <c r="D85" s="259">
        <f>C85/$C$74</f>
        <v>4.9646040445109479E-2</v>
      </c>
      <c r="E85" s="265">
        <f>E83*(1-F84)</f>
        <v>189483</v>
      </c>
      <c r="F85" s="259">
        <f>E85/E74</f>
        <v>4.9646040445109479E-2</v>
      </c>
      <c r="G85" s="261"/>
      <c r="H85" s="265">
        <f>H83*(1-I84)</f>
        <v>189483</v>
      </c>
      <c r="I85" s="259">
        <f>H85/$H$74</f>
        <v>4.9646040445109479E-2</v>
      </c>
      <c r="K85" s="24"/>
    </row>
    <row r="86" spans="1:11" ht="15" customHeight="1" x14ac:dyDescent="0.4">
      <c r="B86" s="87" t="s">
        <v>161</v>
      </c>
      <c r="C86" s="168">
        <f>C85*Data!C4/Common_Shares</f>
        <v>0.13465929562961179</v>
      </c>
      <c r="D86" s="210"/>
      <c r="E86" s="169">
        <f>E85*Data!C4/Common_Shares</f>
        <v>0.13465929562961179</v>
      </c>
      <c r="F86" s="210"/>
      <c r="H86" s="169">
        <f>H85*Data!C4/Common_Shares</f>
        <v>0.13465929562961179</v>
      </c>
      <c r="I86" s="210"/>
      <c r="K86" s="24"/>
    </row>
    <row r="87" spans="1:11" ht="15" customHeight="1" x14ac:dyDescent="0.4">
      <c r="B87" s="87" t="s">
        <v>210</v>
      </c>
      <c r="C87" s="262">
        <f>C86*Exchange_Rate/Dashboard!G3</f>
        <v>5.7822217686852029E-2</v>
      </c>
      <c r="D87" s="210"/>
      <c r="E87" s="263">
        <f>E86*Exchange_Rate/Dashboard!G3</f>
        <v>5.7822217686852029E-2</v>
      </c>
      <c r="F87" s="210"/>
      <c r="H87" s="263">
        <f>H86*Exchange_Rate/Dashboard!G3</f>
        <v>5.7822217686852029E-2</v>
      </c>
      <c r="I87" s="210"/>
      <c r="K87" s="24"/>
    </row>
    <row r="88" spans="1:11" ht="15" customHeight="1" x14ac:dyDescent="0.4">
      <c r="B88" s="86" t="s">
        <v>209</v>
      </c>
      <c r="C88" s="170">
        <f>Inputs!C44</f>
        <v>0.1</v>
      </c>
      <c r="D88" s="167">
        <f>C88/C86</f>
        <v>0.74261490476718228</v>
      </c>
      <c r="E88" s="171">
        <f>Inputs!E98</f>
        <v>0.06</v>
      </c>
      <c r="F88" s="167">
        <f>E88/E86</f>
        <v>0.44556894286030935</v>
      </c>
      <c r="H88" s="171">
        <f>Inputs!F98</f>
        <v>0.06</v>
      </c>
      <c r="I88" s="167">
        <f>H88/H86</f>
        <v>0.44556894286030935</v>
      </c>
      <c r="K88" s="24"/>
    </row>
    <row r="89" spans="1:11" ht="15" customHeight="1" x14ac:dyDescent="0.4">
      <c r="B89" s="87" t="s">
        <v>223</v>
      </c>
      <c r="C89" s="262">
        <f>C88*Exchange_Rate/Dashboard!G3</f>
        <v>4.2939640680948896E-2</v>
      </c>
      <c r="D89" s="210"/>
      <c r="E89" s="262">
        <f>E88*Exchange_Rate/Dashboard!G3</f>
        <v>2.5763784408569336E-2</v>
      </c>
      <c r="F89" s="210"/>
      <c r="H89" s="262">
        <f>H88*Exchange_Rate/Dashboard!G3</f>
        <v>2.5763784408569336E-2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133</v>
      </c>
    </row>
    <row r="92" spans="1:11" ht="15" customHeight="1" x14ac:dyDescent="0.4">
      <c r="B92" s="10" t="s">
        <v>156</v>
      </c>
      <c r="C92" s="199" t="str">
        <f>Inputs!C15</f>
        <v>CN</v>
      </c>
      <c r="D92" s="10" t="s">
        <v>157</v>
      </c>
      <c r="E92" s="282" t="s">
        <v>208</v>
      </c>
      <c r="F92" s="282"/>
      <c r="G92" s="87"/>
      <c r="H92" s="282" t="s">
        <v>207</v>
      </c>
      <c r="I92" s="282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7.1999999999999995E-2</v>
      </c>
      <c r="D93" s="240">
        <f>Inputs!C86</f>
        <v>5</v>
      </c>
      <c r="E93" s="87" t="s">
        <v>211</v>
      </c>
      <c r="F93" s="144">
        <f>FV(E87,D93,0,-(E86/C93))*Exchange_Rate</f>
        <v>2.6592898653610497</v>
      </c>
      <c r="H93" s="87" t="s">
        <v>211</v>
      </c>
      <c r="I93" s="144">
        <f>FV(H87,D93,0,-(H86/C93))*Exchange_Rate</f>
        <v>2.6592898653610497</v>
      </c>
      <c r="K93" s="24"/>
    </row>
    <row r="94" spans="1:11" ht="15" customHeight="1" x14ac:dyDescent="0.4">
      <c r="B94" s="1" t="s">
        <v>213</v>
      </c>
      <c r="C94" s="183">
        <f>Dashboard!G20</f>
        <v>0.15</v>
      </c>
      <c r="D94" s="145"/>
      <c r="E94" s="87" t="s">
        <v>212</v>
      </c>
      <c r="F94" s="144">
        <f>FV(E89,D93,0,-(E88/C93))*Exchange_Rate</f>
        <v>1.0159070580518859</v>
      </c>
      <c r="H94" s="87" t="s">
        <v>212</v>
      </c>
      <c r="I94" s="144">
        <f>FV(H89,D93,0,-(H88/C93))*Exchange_Rate</f>
        <v>1.0159070580518859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215</v>
      </c>
      <c r="E96" s="184" t="str">
        <f>E72</f>
        <v>Pessimistic Case</v>
      </c>
      <c r="F96" s="228" t="s">
        <v>241</v>
      </c>
      <c r="H96" s="184" t="str">
        <f>H72</f>
        <v>Base Case</v>
      </c>
      <c r="I96" s="124" t="s">
        <v>115</v>
      </c>
      <c r="K96" s="24"/>
    </row>
    <row r="97" spans="2:11" ht="15" customHeight="1" x14ac:dyDescent="0.4">
      <c r="B97" s="1" t="s">
        <v>131</v>
      </c>
      <c r="C97" s="91">
        <f>H97*Common_Shares/Data!C4</f>
        <v>1860417.3899150519</v>
      </c>
      <c r="D97" s="214"/>
      <c r="E97" s="123">
        <f>PV(C94,D93,0,-F93)</f>
        <v>1.3221370534720356</v>
      </c>
      <c r="F97" s="214"/>
      <c r="H97" s="123">
        <f>PV(C94,D93,0,-I93)</f>
        <v>1.3221370534720356</v>
      </c>
      <c r="I97" s="123">
        <f>PV(C93,D93,0,-I93)</f>
        <v>1.8784158825914394</v>
      </c>
      <c r="K97" s="24"/>
    </row>
    <row r="98" spans="2:11" ht="15" customHeight="1" x14ac:dyDescent="0.4">
      <c r="B98" s="28" t="s">
        <v>145</v>
      </c>
      <c r="C98" s="91">
        <f>E53*Exchange_Rate</f>
        <v>0</v>
      </c>
      <c r="D98" s="214"/>
      <c r="E98" s="214"/>
      <c r="F98" s="214"/>
      <c r="H98" s="123">
        <f>C98*Data!$C$4/Common_Shares</f>
        <v>0</v>
      </c>
      <c r="I98" s="216"/>
      <c r="K98" s="24"/>
    </row>
    <row r="99" spans="2:11" ht="15" customHeight="1" thickBot="1" x14ac:dyDescent="0.45">
      <c r="B99" s="105" t="s">
        <v>146</v>
      </c>
      <c r="C99" s="108">
        <f>(E65-IF(E70&lt;0,MIN(E65,ABS(E70)),0))*Exchange_Rate</f>
        <v>0</v>
      </c>
      <c r="D99" s="215"/>
      <c r="E99" s="146">
        <f>IF(H99&gt;0,H99*(1-C94),H99*(1+C94))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115</v>
      </c>
      <c r="C100" s="91">
        <f>C97-C98+$C$99</f>
        <v>1860417.3899150519</v>
      </c>
      <c r="D100" s="109">
        <f>MIN(F100*(1-C94),E100)</f>
        <v>1.1238164954512302</v>
      </c>
      <c r="E100" s="109">
        <f>MAX(E97-H98+E99,0)</f>
        <v>1.3221370534720356</v>
      </c>
      <c r="F100" s="109">
        <f>(E100+H100)/2</f>
        <v>1.3221370534720356</v>
      </c>
      <c r="H100" s="109">
        <f>MAX(C100*Data!$C$4/Common_Shares,0)</f>
        <v>1.3221370534720356</v>
      </c>
      <c r="I100" s="109">
        <f>MAX(I97-H98+H99,0)</f>
        <v>1.8784158825914394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163</v>
      </c>
      <c r="C102" s="127" t="str">
        <f>C96</f>
        <v>HKD</v>
      </c>
      <c r="D102" s="124" t="s">
        <v>215</v>
      </c>
      <c r="E102" s="184" t="str">
        <f>E96</f>
        <v>Pessimistic Case</v>
      </c>
      <c r="F102" s="228" t="s">
        <v>241</v>
      </c>
      <c r="H102" s="184" t="str">
        <f>H96</f>
        <v>Base Case</v>
      </c>
      <c r="I102" s="124" t="s">
        <v>115</v>
      </c>
      <c r="K102" s="24"/>
    </row>
    <row r="103" spans="2:11" ht="15" customHeight="1" x14ac:dyDescent="0.4">
      <c r="B103" s="1" t="s">
        <v>162</v>
      </c>
      <c r="C103" s="91">
        <f>H103*Common_Shares/Data!C4</f>
        <v>710720.24977636768</v>
      </c>
      <c r="D103" s="109">
        <f>MIN(F103*(1-C94),E103)</f>
        <v>0.4293225513154178</v>
      </c>
      <c r="E103" s="123">
        <f>PV(C94,D93,0,-F94)</f>
        <v>0.50508535448872682</v>
      </c>
      <c r="F103" s="109">
        <f>(E103+H103)/2</f>
        <v>0.50508535448872682</v>
      </c>
      <c r="H103" s="123">
        <f>PV(C94,D93,0,-I94)</f>
        <v>0.50508535448872682</v>
      </c>
      <c r="I103" s="109">
        <f>PV(C93,D93,0,-I94)</f>
        <v>0.71759606876188287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199</v>
      </c>
      <c r="C105" s="127" t="str">
        <f>C102</f>
        <v>HKD</v>
      </c>
      <c r="D105" s="124" t="s">
        <v>215</v>
      </c>
      <c r="E105" s="185" t="str">
        <f>E96</f>
        <v>Pessimistic Case</v>
      </c>
      <c r="F105" s="228" t="s">
        <v>241</v>
      </c>
      <c r="H105" s="185" t="str">
        <f>H96</f>
        <v>Base Case</v>
      </c>
      <c r="I105" s="124" t="s">
        <v>115</v>
      </c>
      <c r="K105" s="24"/>
    </row>
    <row r="106" spans="2:11" ht="15" customHeight="1" x14ac:dyDescent="0.4">
      <c r="B106" s="1" t="s">
        <v>200</v>
      </c>
      <c r="C106" s="91">
        <f>E106*Common_Shares/Data!C4</f>
        <v>1285568.8198457097</v>
      </c>
      <c r="D106" s="109">
        <f>(D100+D103)/2</f>
        <v>0.77656952338332397</v>
      </c>
      <c r="E106" s="123">
        <f>(E100+E103)/2</f>
        <v>0.9136112039803812</v>
      </c>
      <c r="F106" s="109">
        <f>(F100+F103)/2</f>
        <v>0.9136112039803812</v>
      </c>
      <c r="H106" s="123">
        <f>(H100+H103)/2</f>
        <v>0.9136112039803812</v>
      </c>
      <c r="I106" s="123">
        <f>(I100+I103)/2</f>
        <v>1.2980059756766611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166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2024-11-28T06:39:36Z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