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23207C-B18E-48F8-9F08-38217139023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E95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<sst xmlns="http://schemas.openxmlformats.org/spreadsheetml/2006/main" count="390" uniqueCount="268">
  <si>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</si>
  <si>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</si>
  <si>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</si>
  <si>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</si>
  <si>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</si>
  <si>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</si>
  <si>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</si>
  <si>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</si>
  <si>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</si>
  <si>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</si>
  <si>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</si>
  <si>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</si>
  <si>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</si>
  <si>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</si>
  <si>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</si>
  <si>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</si>
  <si>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</si>
  <si>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</si>
  <si>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</si>
  <si>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</si>
  <si>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</si>
  <si>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</si>
  <si>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</si>
  <si>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</si>
  <si>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</si>
  <si>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</si>
  <si>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</si>
  <si>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</si>
  <si>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</si>
  <si>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</si>
  <si>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</si>
  <si>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</si>
  <si>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</si>
  <si>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</si>
  <si>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</si>
  <si>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</si>
  <si>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</si>
  <si>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</si>
  <si>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</si>
  <si>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</si>
  <si>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</si>
  <si>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</si>
  <si>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</si>
  <si>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</si>
  <si>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</si>
  <si>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</si>
  <si>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</si>
  <si>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</si>
  <si>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</si>
  <si>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</si>
  <si>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</si>
  <si>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</si>
  <si>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</si>
  <si>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</si>
  <si>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</si>
  <si>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</si>
  <si>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</si>
  <si>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</si>
  <si>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</si>
  <si>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</si>
  <si>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</si>
  <si>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</si>
  <si>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</si>
  <si>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</si>
  <si>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</si>
  <si>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</si>
  <si>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</si>
  <si>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</si>
  <si>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</si>
  <si>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</si>
  <si>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</si>
  <si>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</si>
  <si>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</si>
  <si>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</si>
  <si>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</si>
  <si>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</si>
  <si>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</si>
  <si>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</si>
  <si>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</si>
  <si>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</si>
  <si>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</si>
  <si>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</si>
  <si>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</si>
  <si>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</si>
  <si>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</si>
  <si>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</si>
  <si>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</si>
  <si>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</si>
  <si>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</si>
  <si>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</si>
  <si>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</si>
  <si>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</si>
  <si>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</si>
  <si>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</si>
  <si>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</si>
  <si>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</si>
  <si>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</si>
  <si>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</si>
  <si>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</si>
  <si>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</si>
  <si>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</si>
  <si>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</si>
  <si>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</si>
  <si>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</si>
  <si>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</si>
  <si>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</si>
  <si>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</si>
  <si>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</si>
  <si>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</si>
  <si>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</si>
  <si>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</si>
  <si>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</si>
  <si>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</si>
  <si>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</si>
  <si>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</si>
  <si>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</si>
  <si>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</si>
  <si>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</si>
  <si>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</si>
  <si>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</si>
  <si>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</si>
  <si>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</si>
  <si>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</si>
  <si>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</si>
  <si>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</si>
  <si>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</si>
  <si>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</si>
  <si>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</si>
  <si>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</si>
  <si>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</si>
  <si>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</si>
  <si>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</si>
  <si>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</si>
  <si>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</si>
  <si>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</si>
  <si>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</si>
  <si>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</si>
  <si>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</si>
  <si>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</si>
  <si>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</si>
  <si>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</si>
  <si>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</si>
  <si>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</si>
  <si>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</si>
  <si>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</si>
  <si>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</si>
  <si>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</si>
  <si>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</si>
  <si>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</si>
  <si>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</si>
  <si>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</si>
  <si>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</si>
  <si>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</si>
  <si>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</si>
  <si>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</si>
  <si>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</si>
  <si>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</si>
  <si>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</si>
  <si>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</si>
  <si>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</si>
  <si>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</si>
  <si>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</si>
  <si>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</si>
  <si>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</si>
  <si>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</si>
  <si>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</si>
  <si>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</si>
  <si>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</si>
  <si>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</si>
  <si>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</si>
  <si>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</si>
  <si>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</si>
  <si>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</si>
  <si>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</si>
  <si>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</si>
  <si>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</si>
  <si>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</si>
  <si>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</si>
  <si>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</si>
  <si>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</si>
  <si>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</si>
  <si>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</si>
  <si>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</si>
  <si>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</si>
  <si>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</si>
  <si>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</si>
  <si>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</si>
  <si>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</si>
  <si>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</si>
  <si>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</si>
  <si>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</si>
  <si>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</si>
  <si>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</si>
  <si>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</si>
  <si>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</si>
  <si>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</si>
  <si>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</si>
  <si>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</si>
  <si>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</si>
  <si>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</si>
  <si>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</si>
  <si>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</si>
  <si>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</si>
  <si>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</si>
  <si>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</si>
  <si>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</si>
  <si>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</si>
  <si>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</si>
  <si>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</si>
  <si>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</si>
  <si>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</si>
  <si>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</si>
  <si>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</si>
  <si>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</si>
  <si>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</si>
  <si>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</si>
  <si>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</si>
  <si>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</si>
  <si>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</si>
  <si>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</si>
  <si>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</si>
  <si>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</si>
  <si>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</si>
  <si>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</si>
  <si>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</si>
  <si>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</si>
  <si>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</si>
  <si>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</si>
  <si>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</si>
  <si>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</si>
  <si>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</si>
  <si>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</si>
  <si>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</si>
  <si>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</si>
  <si>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</si>
  <si>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</si>
  <si>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</si>
  <si>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</si>
  <si>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</si>
  <si>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</si>
  <si>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</si>
  <si>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</si>
  <si>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</si>
  <si>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</si>
  <si>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</si>
  <si>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</si>
  <si>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</si>
  <si>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</si>
  <si>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</si>
  <si>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</si>
  <si>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</si>
  <si>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</si>
  <si>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</si>
  <si>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</si>
  <si>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</si>
  <si>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</si>
  <si>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</si>
  <si>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</si>
  <si>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</si>
  <si>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</si>
  <si>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</si>
  <si>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</si>
  <si>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</si>
  <si>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0788.HK</t>
  </si>
  <si>
    <t>中国铁塔</t>
  </si>
  <si>
    <t>C0010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</si>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</sst>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263</v>
      </c>
    </row>
    <row r="5" spans="1:4" ht="13.9" x14ac:dyDescent="0.4">
      <c r="B5" s="141" t="s">
        <v>197</v>
      </c>
      <c r="C5" s="192" t="s">
        <v>264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265</v>
      </c>
    </row>
    <row r="10" spans="1:4" ht="13.9" x14ac:dyDescent="0.4">
      <c r="B10" s="140" t="s">
        <v>219</v>
      </c>
      <c r="C10" s="194">
        <v>176008471024</v>
      </c>
    </row>
    <row r="11" spans="1:4" ht="13.9" x14ac:dyDescent="0.4">
      <c r="B11" s="140" t="s">
        <v>220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242</v>
      </c>
      <c r="C18" s="243" t="s">
        <v>234</v>
      </c>
      <c r="D18" s="24"/>
    </row>
    <row r="19" spans="2:13" ht="13.9" x14ac:dyDescent="0.4">
      <c r="B19" s="241" t="s">
        <v>243</v>
      </c>
      <c r="C19" s="243" t="s">
        <v>234</v>
      </c>
      <c r="D19" s="24"/>
    </row>
    <row r="20" spans="2:13" ht="13.9" x14ac:dyDescent="0.4">
      <c r="B20" s="242" t="s">
        <v>230</v>
      </c>
      <c r="C20" s="243" t="s">
        <v>234</v>
      </c>
      <c r="D20" s="24"/>
    </row>
    <row r="21" spans="2:13" ht="13.9" x14ac:dyDescent="0.4">
      <c r="B21" s="225" t="s">
        <v>235</v>
      </c>
      <c r="C21" s="243" t="s">
        <v>249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5.0820854194413602E-2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255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106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251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261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0788.HK</v>
      </c>
      <c r="D3" s="275"/>
      <c r="E3" s="87"/>
      <c r="F3" s="3" t="s">
        <v>1</v>
      </c>
      <c r="G3" s="132">
        <v>1.02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中国铁塔</v>
      </c>
      <c r="D4" s="277"/>
      <c r="E4" s="87"/>
      <c r="F4" s="3" t="s">
        <v>3</v>
      </c>
      <c r="G4" s="280">
        <f>Inputs!C10</f>
        <v>176008471024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179528.64044448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0.69462498271442097</v>
      </c>
      <c r="F20" s="87" t="s">
        <v>213</v>
      </c>
      <c r="G20" s="173">
        <v>0.15</v>
      </c>
    </row>
    <row r="21" spans="1:8" ht="15.75" customHeight="1" x14ac:dyDescent="0.4">
      <c r="B21" s="137" t="s">
        <v>248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3.0071588890425386E-2</v>
      </c>
      <c r="F24" s="140" t="s">
        <v>176</v>
      </c>
      <c r="G24" s="179">
        <f>(Fin_Analysis!H86*G7)/G3</f>
        <v>5.2356346993488491E-2</v>
      </c>
    </row>
    <row r="25" spans="1:8" ht="15.75" customHeight="1" x14ac:dyDescent="0.4">
      <c r="B25" s="137" t="s">
        <v>247</v>
      </c>
      <c r="C25" s="172">
        <f>Fin_Analysis!I82</f>
        <v>0</v>
      </c>
      <c r="F25" s="140" t="s">
        <v>175</v>
      </c>
      <c r="G25" s="172">
        <f>Fin_Analysis!I88</f>
        <v>0.97067227017832514</v>
      </c>
    </row>
    <row r="26" spans="1:8" ht="15.75" customHeight="1" x14ac:dyDescent="0.4">
      <c r="B26" s="138" t="s">
        <v>174</v>
      </c>
      <c r="C26" s="172">
        <f>Fin_Analysis!I83</f>
        <v>0.12419023710495804</v>
      </c>
      <c r="F26" s="141" t="s">
        <v>195</v>
      </c>
      <c r="G26" s="179">
        <f>Fin_Analysis!H88*Exchange_Rate/G3</f>
        <v>5.0820854194413602E-2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241</v>
      </c>
      <c r="G28" s="270" t="s">
        <v>262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0.40455806208655365</v>
      </c>
      <c r="D29" s="129">
        <f>G29*(1+G20)</f>
        <v>0.77763365832334908</v>
      </c>
      <c r="E29" s="87"/>
      <c r="F29" s="131">
        <f>IF(Fin_Analysis!C108="Profit",Fin_Analysis!F100,IF(Fin_Analysis!C108="Dividend",Fin_Analysis!F103,Fin_Analysis!F106))</f>
        <v>0.47595066127829844</v>
      </c>
      <c r="G29" s="271">
        <f>IF(Fin_Analysis!C108="Profit",Fin_Analysis!I100,IF(Fin_Analysis!C108="Dividend",Fin_Analysis!I103,Fin_Analysis!I106))</f>
        <v>0.67620318115073841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242</v>
      </c>
      <c r="C36" s="246" t="str">
        <f>Inputs!C18</f>
        <v>agree</v>
      </c>
    </row>
    <row r="37" spans="1:3" ht="15.75" customHeight="1" x14ac:dyDescent="0.4">
      <c r="A37"/>
      <c r="B37" s="20" t="s">
        <v>243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235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244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245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237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246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239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238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240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96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236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161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5.2356346993488491E-2</v>
      </c>
      <c r="D87" s="210"/>
      <c r="E87" s="263">
        <f>E86*Exchange_Rate/Dashboard!G3</f>
        <v>5.2356346993488491E-2</v>
      </c>
      <c r="F87" s="210"/>
      <c r="H87" s="263">
        <f>H86*Exchange_Rate/Dashboard!G3</f>
        <v>5.2356346993488491E-2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223</v>
      </c>
      <c r="C89" s="262">
        <f>C88*Exchange_Rate/Dashboard!G3</f>
        <v>5.0820854194413602E-2</v>
      </c>
      <c r="D89" s="210"/>
      <c r="E89" s="262">
        <f>E88*Exchange_Rate/Dashboard!G3</f>
        <v>5.0820854194413602E-2</v>
      </c>
      <c r="F89" s="210"/>
      <c r="H89" s="262">
        <f>H88*Exchange_Rate/Dashboard!G3</f>
        <v>5.0820854194413602E-2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0.95730678345748332</v>
      </c>
      <c r="H93" s="87" t="s">
        <v>211</v>
      </c>
      <c r="I93" s="144">
        <f>FV(H87,D93,0,-(H86/C93))*Exchange_Rate</f>
        <v>0.95730678345748332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0.92247169866640821</v>
      </c>
      <c r="H94" s="87" t="s">
        <v>212</v>
      </c>
      <c r="I94" s="144">
        <f>FV(H89,D93,0,-(H88/C93))*Exchange_Rate</f>
        <v>0.92247169866640821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241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83771.348174455037</v>
      </c>
      <c r="D97" s="214"/>
      <c r="E97" s="123">
        <f>PV(C94,D93,0,-F93)</f>
        <v>0.47595066127829849</v>
      </c>
      <c r="F97" s="214"/>
      <c r="H97" s="123">
        <f>PV(C94,D93,0,-I93)</f>
        <v>0.47595066127829849</v>
      </c>
      <c r="I97" s="123">
        <f>PV(C93,D93,0,-I93)</f>
        <v>0.67620318115073841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83771.348174455037</v>
      </c>
      <c r="D100" s="109">
        <f>MIN(F100*(1-C94),E100)</f>
        <v>0.40455806208655365</v>
      </c>
      <c r="E100" s="109">
        <f>MAX(E97-H98+E99,0)</f>
        <v>0.47595066127829849</v>
      </c>
      <c r="F100" s="109">
        <f>(E100+H100)/2</f>
        <v>0.47595066127829844</v>
      </c>
      <c r="H100" s="109">
        <f>MAX(C100*Data!$C$4/Common_Shares,0)</f>
        <v>0.47595066127829844</v>
      </c>
      <c r="I100" s="109">
        <f>MAX(I97-H98+H99,0)</f>
        <v>0.67620318115073841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241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80723.02336662251</v>
      </c>
      <c r="D103" s="109">
        <f>MIN(F103*(1-C94),E103)</f>
        <v>0.3898367474158278</v>
      </c>
      <c r="E103" s="123">
        <f>PV(C94,D93,0,-F94)</f>
        <v>0.45863146754803269</v>
      </c>
      <c r="F103" s="109">
        <f>(E103+H103)/2</f>
        <v>0.45863146754803269</v>
      </c>
      <c r="H103" s="123">
        <f>PV(C94,D93,0,-I94)</f>
        <v>0.45863146754803269</v>
      </c>
      <c r="I103" s="109">
        <f>PV(C93,D93,0,-I94)</f>
        <v>0.65159707205548523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241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82247.185770538767</v>
      </c>
      <c r="D106" s="109">
        <f>(D100+D103)/2</f>
        <v>0.3971974047511907</v>
      </c>
      <c r="E106" s="123">
        <f>(E100+E103)/2</f>
        <v>0.46729106441316559</v>
      </c>
      <c r="F106" s="109">
        <f>(F100+F103)/2</f>
        <v>0.46729106441316559</v>
      </c>
      <c r="H106" s="123">
        <f>(H100+H103)/2</f>
        <v>0.46729106441316559</v>
      </c>
      <c r="I106" s="123">
        <f>(I100+I103)/2</f>
        <v>0.66390012660311182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