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18E8232-FEFB-49DA-A51B-B8222C81396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7" i="4"/>
  <c r="E92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14" i="2"/>
  <c r="I22" i="2" s="1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<sst xmlns="http://schemas.openxmlformats.org/spreadsheetml/2006/main" count="390" uniqueCount="270">
  <si>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</si>
  <si>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</si>
  <si>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</si>
  <si>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</si>
  <si>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</si>
  <si>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</si>
  <si>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</si>
  <si>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</si>
  <si>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</si>
  <si>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</si>
  <si>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</si>
  <si>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</si>
  <si>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</si>
  <si>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</si>
  <si>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</si>
  <si>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</si>
  <si>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</si>
  <si>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</si>
  <si>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</si>
  <si>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</si>
  <si>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</si>
  <si>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</si>
  <si>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</si>
  <si>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</si>
  <si>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</si>
  <si>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</si>
  <si>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</si>
  <si>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</si>
  <si>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</si>
  <si>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</si>
  <si>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</si>
  <si>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</si>
  <si>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</si>
  <si>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</si>
  <si>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</si>
  <si>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</si>
  <si>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</si>
  <si>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</si>
  <si>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</si>
  <si>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</si>
  <si>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</si>
  <si>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</si>
  <si>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</si>
  <si>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</si>
  <si>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</si>
  <si>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</si>
  <si>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</si>
  <si>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</si>
  <si>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</si>
  <si>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</si>
  <si>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</si>
  <si>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</si>
  <si>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</si>
  <si>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</si>
  <si>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</si>
  <si>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</si>
  <si>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</si>
  <si>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</si>
  <si>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</si>
  <si>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</si>
  <si>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</si>
  <si>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</si>
  <si>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</si>
  <si>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</si>
  <si>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</si>
  <si>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</si>
  <si>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</si>
  <si>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</si>
  <si>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</si>
  <si>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</si>
  <si>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</si>
  <si>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</si>
  <si>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</si>
  <si>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</si>
  <si>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</si>
  <si>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</si>
  <si>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</si>
  <si>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</si>
  <si>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</si>
  <si>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</si>
  <si>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</si>
  <si>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</si>
  <si>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</si>
  <si>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</si>
  <si>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</si>
  <si>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</si>
  <si>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</si>
  <si>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</si>
  <si>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</si>
  <si>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</si>
  <si>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</si>
  <si>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</si>
  <si>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</si>
  <si>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</si>
  <si>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</si>
  <si>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</si>
  <si>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</si>
  <si>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</si>
  <si>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</si>
  <si>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</si>
  <si>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</si>
  <si>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</si>
  <si>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</si>
  <si>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</si>
  <si>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</si>
  <si>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</si>
  <si>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</si>
  <si>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</si>
  <si>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</si>
  <si>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</si>
  <si>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</si>
  <si>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</si>
  <si>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</si>
  <si>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</si>
  <si>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</si>
  <si>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</si>
  <si>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</si>
  <si>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</si>
  <si>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</si>
  <si>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</si>
  <si>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</si>
  <si>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</si>
  <si>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</si>
  <si>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</si>
  <si>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</si>
  <si>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</si>
  <si>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</si>
  <si>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</si>
  <si>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</si>
  <si>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</si>
  <si>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</si>
  <si>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</si>
  <si>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</si>
  <si>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</si>
  <si>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</si>
  <si>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</si>
  <si>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</si>
  <si>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</si>
  <si>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</si>
  <si>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</si>
  <si>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</si>
  <si>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</si>
  <si>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</si>
  <si>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</si>
  <si>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</si>
  <si>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</si>
  <si>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</si>
  <si>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</si>
  <si>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</si>
  <si>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</si>
  <si>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</si>
  <si>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</si>
  <si>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</si>
  <si>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</si>
  <si>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</si>
  <si>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</si>
  <si>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</si>
  <si>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</si>
  <si>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</si>
  <si>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</si>
  <si>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</si>
  <si>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</si>
  <si>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</si>
  <si>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</si>
  <si>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</si>
  <si>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</si>
  <si>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</si>
  <si>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</si>
  <si>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</si>
  <si>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</si>
  <si>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</si>
  <si>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</si>
  <si>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</si>
  <si>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</si>
  <si>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</si>
  <si>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</si>
  <si>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</si>
  <si>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</si>
  <si>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</si>
  <si>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</si>
  <si>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</si>
  <si>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</si>
  <si>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</si>
  <si>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</si>
  <si>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</si>
  <si>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</si>
  <si>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</si>
  <si>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</si>
  <si>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</si>
  <si>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</si>
  <si>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</si>
  <si>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</si>
  <si>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</si>
  <si>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</si>
  <si>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</si>
  <si>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</si>
  <si>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</si>
  <si>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</si>
  <si>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</si>
  <si>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</si>
  <si>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</si>
  <si>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</si>
  <si>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</si>
  <si>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</si>
  <si>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</si>
  <si>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</si>
  <si>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</si>
  <si>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</si>
  <si>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</si>
  <si>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</si>
  <si>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</si>
  <si>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</si>
  <si>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</si>
  <si>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</si>
  <si>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</si>
  <si>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</si>
  <si>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</si>
  <si>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</si>
  <si>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</si>
  <si>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</si>
  <si>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</si>
  <si>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</si>
  <si>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</si>
  <si>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</si>
  <si>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</si>
  <si>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</si>
  <si>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</si>
  <si>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</si>
  <si>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</si>
  <si>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</si>
  <si>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</si>
  <si>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</si>
  <si>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</si>
  <si>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</si>
  <si>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</si>
  <si>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</si>
  <si>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</si>
  <si>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</si>
  <si>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</si>
  <si>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</si>
  <si>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</si>
  <si>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</si>
  <si>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</si>
  <si>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</si>
  <si>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</si>
  <si>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</si>
  <si>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</si>
  <si>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</si>
  <si>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</si>
  <si>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</si>
  <si>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</si>
  <si>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</si>
  <si>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</si>
  <si>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</si>
  <si>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</si>
  <si>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</si>
  <si>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</si>
  <si>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</si>
  <si>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</si>
  <si>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</si>
  <si>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</si>
  <si>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</si>
  <si>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</si>
  <si>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</si>
  <si>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0857.HK</t>
  </si>
  <si>
    <t>中國石油股份</t>
  </si>
  <si>
    <t>C0013</t>
  </si>
  <si>
    <t>CNY</t>
  </si>
  <si>
    <t>CN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</si>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</sst>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264</v>
      </c>
    </row>
    <row r="5" spans="1:4" ht="13.9" x14ac:dyDescent="0.4">
      <c r="B5" s="141" t="s">
        <v>197</v>
      </c>
      <c r="C5" s="192" t="s">
        <v>265</v>
      </c>
    </row>
    <row r="6" spans="1:4" ht="13.9" x14ac:dyDescent="0.4">
      <c r="B6" s="141" t="s">
        <v>164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266</v>
      </c>
    </row>
    <row r="10" spans="1:4" ht="13.9" x14ac:dyDescent="0.4">
      <c r="B10" s="140" t="s">
        <v>219</v>
      </c>
      <c r="C10" s="194">
        <v>183020977818</v>
      </c>
    </row>
    <row r="11" spans="1:4" ht="13.9" x14ac:dyDescent="0.4">
      <c r="B11" s="140" t="s">
        <v>220</v>
      </c>
      <c r="C11" s="193" t="s">
        <v>267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261</v>
      </c>
      <c r="C15" s="177" t="s">
        <v>268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269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250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3.9" x14ac:dyDescent="0.4">
      <c r="B26" s="97" t="s">
        <v>106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3.9" x14ac:dyDescent="0.4">
      <c r="B27" s="97" t="s">
        <v>104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3.9" x14ac:dyDescent="0.4">
      <c r="B28" s="97" t="s">
        <v>107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3.9" x14ac:dyDescent="0.4">
      <c r="B30" s="99" t="s">
        <v>111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3.9" x14ac:dyDescent="0.4">
      <c r="B31" s="97" t="s">
        <v>110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3.9" x14ac:dyDescent="0.4">
      <c r="B32" s="97" t="s">
        <v>105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3.9" x14ac:dyDescent="0.4">
      <c r="B33" s="97" t="s">
        <v>108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8.7351890627773057E-2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238880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9895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24847</v>
      </c>
      <c r="D54" s="60">
        <v>0.1</v>
      </c>
      <c r="E54" s="112"/>
    </row>
    <row r="55" spans="2:5" ht="13.9" x14ac:dyDescent="0.4">
      <c r="B55" s="3" t="s">
        <v>47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>
        <v>61345</v>
      </c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292606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201156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91529</v>
      </c>
      <c r="D70" s="60">
        <v>0.05</v>
      </c>
      <c r="E70" s="112"/>
    </row>
    <row r="71" spans="2:5" ht="13.9" x14ac:dyDescent="0.4">
      <c r="B71" s="3" t="s">
        <v>75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71887</v>
      </c>
      <c r="D72" s="249">
        <v>0</v>
      </c>
      <c r="E72" s="250"/>
    </row>
    <row r="73" spans="2:5" ht="13.9" x14ac:dyDescent="0.4">
      <c r="B73" s="3" t="s">
        <v>39</v>
      </c>
      <c r="C73" s="59">
        <v>40594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11824</v>
      </c>
    </row>
    <row r="77" spans="2:5" ht="14.25" thickBot="1" x14ac:dyDescent="0.45">
      <c r="B77" s="80" t="s">
        <v>16</v>
      </c>
      <c r="C77" s="83">
        <v>716641</v>
      </c>
    </row>
    <row r="78" spans="2:5" ht="14.25" thickTop="1" x14ac:dyDescent="0.4">
      <c r="B78" s="3" t="s">
        <v>62</v>
      </c>
      <c r="C78" s="59">
        <v>70126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>
        <v>11000</v>
      </c>
    </row>
    <row r="82" spans="2:8" ht="14.25" thickBot="1" x14ac:dyDescent="0.45">
      <c r="B82" s="80" t="s">
        <v>85</v>
      </c>
      <c r="C82" s="83">
        <v>373503</v>
      </c>
    </row>
    <row r="83" spans="2:8" ht="14.25" thickTop="1" x14ac:dyDescent="0.4">
      <c r="B83" s="73" t="s">
        <v>222</v>
      </c>
      <c r="C83" s="59">
        <v>1489904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256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3.9" x14ac:dyDescent="0.4">
      <c r="B92" s="104" t="s">
        <v>106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3.9" x14ac:dyDescent="0.4">
      <c r="B93" s="104" t="s">
        <v>252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3.9" x14ac:dyDescent="0.4">
      <c r="B94" s="104" t="s">
        <v>262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3.9" x14ac:dyDescent="0.4">
      <c r="B95" s="28" t="s">
        <v>251</v>
      </c>
      <c r="C95" s="77">
        <f>ABS(MAX(C33,0)-C32)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v>0</v>
      </c>
    </row>
    <row r="97" spans="2:7" ht="13.9" x14ac:dyDescent="0.4">
      <c r="B97" s="73" t="s">
        <v>173</v>
      </c>
      <c r="C97" s="77">
        <f>MAX(C30,0)/(1-C16)</f>
        <v>27574.666666666668</v>
      </c>
      <c r="D97" s="160">
        <f>C97/C91</f>
        <v>9.1579398111554088E-3</v>
      </c>
      <c r="E97" s="254"/>
      <c r="F97" s="253">
        <f>F91*D97</f>
        <v>27574.666666666672</v>
      </c>
    </row>
    <row r="98" spans="2:7" ht="13.9" x14ac:dyDescent="0.4">
      <c r="B98" s="86" t="s">
        <v>209</v>
      </c>
      <c r="C98" s="238">
        <f>C44</f>
        <v>0.45</v>
      </c>
      <c r="D98" s="267"/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0857.HK</v>
      </c>
      <c r="D3" s="275"/>
      <c r="E3" s="87"/>
      <c r="F3" s="3" t="s">
        <v>1</v>
      </c>
      <c r="G3" s="132">
        <v>5.53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中國石油股份</v>
      </c>
      <c r="D4" s="277"/>
      <c r="E4" s="87"/>
      <c r="F4" s="3" t="s">
        <v>3</v>
      </c>
      <c r="G4" s="280">
        <f>Inputs!C10</f>
        <v>183020977818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45605</v>
      </c>
      <c r="D5" s="279"/>
      <c r="E5" s="34"/>
      <c r="F5" s="35" t="s">
        <v>100</v>
      </c>
      <c r="G5" s="272">
        <f>G3*G4/1000000</f>
        <v>1012106.00733354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C0013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0.86263355974668987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5.04E-2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9.1579398111554088E-3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0.56183594666546477</v>
      </c>
    </row>
    <row r="24" spans="1:8" ht="15.75" customHeight="1" x14ac:dyDescent="0.4">
      <c r="B24" s="137" t="s">
        <v>171</v>
      </c>
      <c r="C24" s="172">
        <f>Fin_Analysis!I81</f>
        <v>7.9916652607163307E-3</v>
      </c>
      <c r="F24" s="140" t="s">
        <v>176</v>
      </c>
      <c r="G24" s="179">
        <f>(Fin_Analysis!H86*G7)/G3</f>
        <v>0.11931878094013711</v>
      </c>
    </row>
    <row r="25" spans="1:8" ht="15.75" customHeight="1" x14ac:dyDescent="0.4">
      <c r="B25" s="137" t="s">
        <v>248</v>
      </c>
      <c r="C25" s="172">
        <f>Fin_Analysis!I82</f>
        <v>0.02</v>
      </c>
      <c r="F25" s="140" t="s">
        <v>175</v>
      </c>
      <c r="G25" s="172">
        <f>Fin_Analysis!I88</f>
        <v>0.73208835976624664</v>
      </c>
    </row>
    <row r="26" spans="1:8" ht="15.75" customHeight="1" x14ac:dyDescent="0.4">
      <c r="B26" s="138" t="s">
        <v>174</v>
      </c>
      <c r="C26" s="172">
        <f>Fin_Analysis!I83</f>
        <v>4.9816835181438444E-2</v>
      </c>
      <c r="F26" s="141" t="s">
        <v>195</v>
      </c>
      <c r="G26" s="179">
        <f>Fin_Analysis!H88*Exchange_Rate/G3</f>
        <v>8.7351890627773057E-2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4.1587880405246782</v>
      </c>
      <c r="D29" s="129">
        <f>G29*(1+G20)</f>
        <v>11.809856071348809</v>
      </c>
      <c r="E29" s="87"/>
      <c r="F29" s="131">
        <f>IF(Fin_Analysis!C108="Profit",Fin_Analysis!F100,IF(Fin_Analysis!C108="Dividend",Fin_Analysis!F103,Fin_Analysis!F106))</f>
        <v>5.5300164617867456</v>
      </c>
      <c r="G29" s="271">
        <f>IF(Fin_Analysis!C108="Profit",Fin_Analysis!I100,IF(Fin_Analysis!C108="Dividend",Fin_Analysis!I103,Fin_Analysis!I106))</f>
        <v>10.269440062042444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disagree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1489904</v>
      </c>
      <c r="K3" s="24"/>
    </row>
    <row r="4" spans="1:11" ht="15" customHeight="1" x14ac:dyDescent="0.4">
      <c r="B4" s="3" t="s">
        <v>25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0.93822569459464367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-697604.50624066975</v>
      </c>
      <c r="E6" s="56">
        <f>1-D6/D3</f>
        <v>1.4156977976624716</v>
      </c>
      <c r="F6" s="87"/>
      <c r="G6" s="87"/>
      <c r="H6" s="1" t="s">
        <v>30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39</v>
      </c>
      <c r="I11" s="40">
        <f>Inputs!C73</f>
        <v>40594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43</v>
      </c>
      <c r="I14" s="206">
        <f>Inputs!C76</f>
        <v>11824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52418</v>
      </c>
      <c r="J15" s="87"/>
    </row>
    <row r="16" spans="1:11" ht="13.9" x14ac:dyDescent="0.4">
      <c r="B16" s="1" t="s">
        <v>159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45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55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56</v>
      </c>
      <c r="I25" s="63">
        <f>E28/I28</f>
        <v>0.57302882475325867</v>
      </c>
    </row>
    <row r="26" spans="2:10" ht="15" customHeight="1" x14ac:dyDescent="0.4">
      <c r="B26" s="23" t="s">
        <v>57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58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60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16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70126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67</v>
      </c>
      <c r="I33" s="206">
        <f>Inputs!C81</f>
        <v>11000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81126</v>
      </c>
      <c r="J34" s="87"/>
    </row>
    <row r="35" spans="2:10" ht="13.9" x14ac:dyDescent="0.4">
      <c r="B35" s="3" t="s">
        <v>70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81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83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85</v>
      </c>
      <c r="I48" s="208">
        <f>Inputs!C82</f>
        <v>373503</v>
      </c>
      <c r="J48" s="8"/>
    </row>
    <row r="49" spans="2:11" ht="15" customHeight="1" thickTop="1" x14ac:dyDescent="0.4">
      <c r="B49" s="3" t="s">
        <v>14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86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133544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4">
      <c r="B76" s="35" t="s">
        <v>96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4">
      <c r="B78" s="73" t="s">
        <v>173</v>
      </c>
      <c r="C78" s="77">
        <f>MAX(Data!C12,0)</f>
        <v>27574.666666666668</v>
      </c>
      <c r="D78" s="160">
        <f>C78/$C$74</f>
        <v>9.1579398111554088E-3</v>
      </c>
      <c r="E78" s="181">
        <f>E74*F78</f>
        <v>27574.666666666672</v>
      </c>
      <c r="F78" s="161">
        <f>I78</f>
        <v>9.1579398111554088E-3</v>
      </c>
      <c r="H78" s="239">
        <f>Inputs!F97</f>
        <v>27574.666666666672</v>
      </c>
      <c r="I78" s="161">
        <f>H78/$H$74</f>
        <v>9.1579398111554088E-3</v>
      </c>
      <c r="K78" s="24"/>
    </row>
    <row r="79" spans="1:11" ht="15" customHeight="1" x14ac:dyDescent="0.4">
      <c r="B79" s="257" t="s">
        <v>237</v>
      </c>
      <c r="C79" s="258">
        <f>C76-C77-C78</f>
        <v>238797.33333333334</v>
      </c>
      <c r="D79" s="259">
        <f>C79/C74</f>
        <v>7.9307997886867723E-2</v>
      </c>
      <c r="E79" s="260">
        <f>E76-E77-E78</f>
        <v>197046.82853333332</v>
      </c>
      <c r="F79" s="259">
        <f>E79/E74</f>
        <v>6.5442060188844589E-2</v>
      </c>
      <c r="G79" s="261"/>
      <c r="H79" s="260">
        <f>H76-H77-H78</f>
        <v>234282.32853333332</v>
      </c>
      <c r="I79" s="259">
        <f>H79/H74</f>
        <v>7.7808500442154774E-2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4">
      <c r="B82" s="28" t="s">
        <v>251</v>
      </c>
      <c r="C82" s="77">
        <f>ABS(MAX(Data!C21,0)-MAX(Data!C19,0))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45">
      <c r="B83" s="105" t="s">
        <v>126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112763.58853333333</v>
      </c>
      <c r="F83" s="165">
        <f>E83/E74</f>
        <v>3.745039492812826E-2</v>
      </c>
      <c r="H83" s="166">
        <f>H79-H81-H82-H80</f>
        <v>149999.08853333333</v>
      </c>
      <c r="I83" s="165">
        <f>H83/$H$74</f>
        <v>4.9816835181438444E-2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134750.5</v>
      </c>
      <c r="D85" s="259">
        <f>C85/$C$74</f>
        <v>4.4752561597230435E-2</v>
      </c>
      <c r="E85" s="265">
        <f>E83*(1-F84)</f>
        <v>84572.691399999996</v>
      </c>
      <c r="F85" s="259">
        <f>E85/E74</f>
        <v>2.8087796196096197E-2</v>
      </c>
      <c r="G85" s="261"/>
      <c r="H85" s="265">
        <f>H83*(1-I84)</f>
        <v>112499.3164</v>
      </c>
      <c r="I85" s="259">
        <f>H85/$H$74</f>
        <v>3.7362626386078832E-2</v>
      </c>
      <c r="K85" s="24"/>
    </row>
    <row r="86" spans="1:11" ht="15" customHeight="1" x14ac:dyDescent="0.4">
      <c r="B86" s="87" t="s">
        <v>161</v>
      </c>
      <c r="C86" s="168">
        <f>C85*Data!C4/Common_Shares</f>
        <v>0.73625713077546118</v>
      </c>
      <c r="D86" s="210"/>
      <c r="E86" s="169">
        <f>E85*Data!C4/Common_Shares</f>
        <v>0.46209288360430956</v>
      </c>
      <c r="F86" s="210"/>
      <c r="H86" s="169">
        <f>H85*Data!C4/Common_Shares</f>
        <v>0.61467990031105468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0.14291878302536909</v>
      </c>
      <c r="D87" s="210"/>
      <c r="E87" s="263">
        <f>E86*Exchange_Rate/Dashboard!G3</f>
        <v>8.9699304507724259E-2</v>
      </c>
      <c r="F87" s="210"/>
      <c r="H87" s="263">
        <f>H86*Exchange_Rate/Dashboard!G3</f>
        <v>0.11931878094013711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0.77906415089540371</v>
      </c>
      <c r="H88" s="171">
        <f>Inputs!F98</f>
        <v>0.45</v>
      </c>
      <c r="I88" s="167">
        <f>H88/H86</f>
        <v>0.73208835976624664</v>
      </c>
      <c r="K88" s="24"/>
    </row>
    <row r="89" spans="1:11" ht="15" customHeight="1" x14ac:dyDescent="0.4">
      <c r="B89" s="87" t="s">
        <v>223</v>
      </c>
      <c r="C89" s="262">
        <f>C88*Exchange_Rate/Dashboard!G3</f>
        <v>8.7351890627773057E-2</v>
      </c>
      <c r="D89" s="210"/>
      <c r="E89" s="262">
        <f>E88*Exchange_Rate/Dashboard!G3</f>
        <v>6.9881512502218454E-2</v>
      </c>
      <c r="F89" s="210"/>
      <c r="H89" s="262">
        <f>H88*Exchange_Rate/Dashboard!G3</f>
        <v>8.7351890627773057E-2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10.58559024898719</v>
      </c>
      <c r="H93" s="87" t="s">
        <v>211</v>
      </c>
      <c r="I93" s="144">
        <f>FV(H87,D93,0,-(H86/C93))*Exchange_Rate</f>
        <v>16.101650530606666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7.5237324979983935</v>
      </c>
      <c r="H94" s="87" t="s">
        <v>212</v>
      </c>
      <c r="I94" s="144">
        <f>FV(H89,D93,0,-(H88/C93))*Exchange_Rate</f>
        <v>10.198011884832042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1465149.9211128312</v>
      </c>
      <c r="D97" s="214"/>
      <c r="E97" s="123">
        <f>PV(C94,D93,0,-F93)</f>
        <v>5.2629092011968623</v>
      </c>
      <c r="F97" s="214"/>
      <c r="H97" s="123">
        <f>PV(C94,D93,0,-I93)</f>
        <v>8.0053660437209988</v>
      </c>
      <c r="I97" s="123">
        <f>PV(C93,D93,0,-I93)</f>
        <v>11.373561222714628</v>
      </c>
      <c r="K97" s="24"/>
    </row>
    <row r="98" spans="2:11" ht="15" customHeight="1" x14ac:dyDescent="0.4">
      <c r="B98" s="28" t="s">
        <v>145</v>
      </c>
      <c r="C98" s="91">
        <f>E53*Exchange_Rate</f>
        <v>202077.33445576826</v>
      </c>
      <c r="D98" s="214"/>
      <c r="E98" s="214"/>
      <c r="F98" s="214"/>
      <c r="H98" s="123">
        <f>C98*Data!$C$4/Common_Shares</f>
        <v>1.1041211606721844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1263072.5866570629</v>
      </c>
      <c r="D100" s="109">
        <f>MIN(F100*(1-C94),E100)</f>
        <v>4.1587880405246782</v>
      </c>
      <c r="E100" s="109">
        <f>MAX(E97-H98+E99,0)</f>
        <v>4.1587880405246782</v>
      </c>
      <c r="F100" s="109">
        <f>(E100+H100)/2</f>
        <v>5.5300164617867456</v>
      </c>
      <c r="H100" s="109">
        <f>MAX(C100*Data!$C$4/Common_Shares,0)</f>
        <v>6.9012448830488138</v>
      </c>
      <c r="I100" s="109">
        <f>MAX(I97-H98+H99,0)</f>
        <v>10.269440062042444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927955.57077628502</v>
      </c>
      <c r="D103" s="109">
        <f>MIN(F103*(1-C94),E103)</f>
        <v>3.7406247606124885</v>
      </c>
      <c r="E103" s="123">
        <f>PV(C94,D93,0,-F94)</f>
        <v>3.7406247606124885</v>
      </c>
      <c r="F103" s="109">
        <f>(E103+H103)/2</f>
        <v>4.405419508023221</v>
      </c>
      <c r="H103" s="123">
        <f>PV(C94,D93,0,-I94)</f>
        <v>5.070214255433954</v>
      </c>
      <c r="I103" s="109">
        <f>PV(C93,D93,0,-I94)</f>
        <v>7.2034672657709535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722879.12752607535</v>
      </c>
      <c r="D106" s="109">
        <f>(D100+D103)/2</f>
        <v>3.9497064005685836</v>
      </c>
      <c r="E106" s="123">
        <f>(E100+E103)/2</f>
        <v>3.9497064005685836</v>
      </c>
      <c r="F106" s="109">
        <f>(F100+F103)/2</f>
        <v>4.9677179849049828</v>
      </c>
      <c r="H106" s="123">
        <f>(H100+H103)/2</f>
        <v>5.9857295692413839</v>
      </c>
      <c r="I106" s="123">
        <f>(I100+I103)/2</f>
        <v>8.7364536639066976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