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28925F0-A14A-40DE-8D9B-9C731B3667F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45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4" i="4" l="1"/>
  <c r="E95" i="4"/>
  <c r="F95" i="4"/>
  <c r="F96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<sst xmlns="http://schemas.openxmlformats.org/spreadsheetml/2006/main" count="390" uniqueCount="268">
  <si>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</si>
  <si>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</si>
  <si>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</si>
  <si>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</si>
  <si>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</si>
  <si>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</si>
  <si>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</si>
  <si>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</si>
  <si>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</si>
  <si>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</si>
  <si>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</si>
  <si>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</si>
  <si>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</si>
  <si>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</si>
  <si>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</si>
  <si>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</si>
  <si>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</si>
  <si>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</si>
  <si>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</si>
  <si>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</si>
  <si>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</si>
  <si>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</si>
  <si>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</si>
  <si>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</si>
  <si>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</si>
  <si>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</si>
  <si>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</si>
  <si>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</si>
  <si>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</si>
  <si>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</si>
  <si>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</si>
  <si>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</si>
  <si>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</si>
  <si>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</si>
  <si>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</si>
  <si>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</si>
  <si>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</si>
  <si>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</si>
  <si>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</si>
  <si>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</si>
  <si>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</si>
  <si>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</si>
  <si>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</si>
  <si>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</si>
  <si>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</si>
  <si>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</si>
  <si>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</si>
  <si>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</si>
  <si>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</si>
  <si>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</si>
  <si>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</si>
  <si>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</si>
  <si>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</si>
  <si>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</si>
  <si>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</si>
  <si>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</si>
  <si>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</si>
  <si>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</si>
  <si>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</si>
  <si>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</si>
  <si>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</si>
  <si>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</si>
  <si>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</si>
  <si>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</si>
  <si>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</si>
  <si>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</si>
  <si>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</si>
  <si>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</si>
  <si>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</si>
  <si>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</si>
  <si>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</si>
  <si>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</si>
  <si>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</si>
  <si>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</si>
  <si>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</si>
  <si>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</si>
  <si>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</si>
  <si>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</si>
  <si>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</si>
  <si>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</si>
  <si>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</si>
  <si>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</si>
  <si>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</si>
  <si>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</si>
  <si>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</si>
  <si>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</si>
  <si>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</si>
  <si>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</si>
  <si>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</si>
  <si>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</si>
  <si>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</si>
  <si>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</si>
  <si>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</si>
  <si>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</si>
  <si>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</si>
  <si>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</si>
  <si>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</si>
  <si>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</si>
  <si>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</si>
  <si>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</si>
  <si>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</si>
  <si>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</si>
  <si>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</si>
  <si>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</si>
  <si>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</si>
  <si>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</si>
  <si>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</si>
  <si>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</si>
  <si>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</si>
  <si>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</si>
  <si>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</si>
  <si>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</si>
  <si>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</si>
  <si>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</si>
  <si>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</si>
  <si>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</si>
  <si>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</si>
  <si>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</si>
  <si>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</si>
  <si>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</si>
  <si>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</si>
  <si>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</si>
  <si>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</si>
  <si>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</si>
  <si>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</si>
  <si>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</si>
  <si>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</si>
  <si>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</si>
  <si>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</si>
  <si>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</si>
  <si>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</si>
  <si>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</si>
  <si>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</si>
  <si>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</si>
  <si>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</si>
  <si>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</si>
  <si>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</si>
  <si>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</si>
  <si>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</si>
  <si>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</si>
  <si>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</si>
  <si>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</si>
  <si>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</si>
  <si>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</si>
  <si>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</si>
  <si>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</si>
  <si>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</si>
  <si>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</si>
  <si>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</si>
  <si>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</si>
  <si>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</si>
  <si>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</si>
  <si>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</si>
  <si>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</si>
  <si>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</si>
  <si>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</si>
  <si>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</si>
  <si>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</si>
  <si>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</si>
  <si>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</si>
  <si>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</si>
  <si>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</si>
  <si>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</si>
  <si>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</si>
  <si>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</si>
  <si>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</si>
  <si>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</si>
  <si>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</si>
  <si>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</si>
  <si>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</si>
  <si>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</si>
  <si>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</si>
  <si>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</si>
  <si>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</si>
  <si>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</si>
  <si>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</si>
  <si>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</si>
  <si>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</si>
  <si>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</si>
  <si>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</si>
  <si>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</si>
  <si>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</si>
  <si>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</si>
  <si>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</si>
  <si>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</si>
  <si>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</si>
  <si>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</si>
  <si>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</si>
  <si>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</si>
  <si>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</si>
  <si>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</si>
  <si>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</si>
  <si>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</si>
  <si>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</si>
  <si>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</si>
  <si>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</si>
  <si>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</si>
  <si>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</si>
  <si>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</si>
  <si>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</si>
  <si>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</si>
  <si>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</si>
  <si>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</si>
  <si>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</si>
  <si>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</si>
  <si>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</si>
  <si>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</si>
  <si>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</si>
  <si>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</si>
  <si>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</si>
  <si>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</si>
  <si>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</si>
  <si>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</si>
  <si>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</si>
  <si>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</si>
  <si>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</si>
  <si>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</si>
  <si>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</si>
  <si>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</si>
  <si>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</si>
  <si>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</si>
  <si>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</si>
  <si>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</si>
  <si>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</si>
  <si>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</si>
  <si>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</si>
  <si>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</si>
  <si>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</si>
  <si>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</si>
  <si>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</si>
  <si>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</si>
  <si>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</si>
  <si>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</si>
  <si>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</si>
  <si>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</si>
  <si>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</si>
  <si>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</si>
  <si>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</si>
  <si>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</si>
  <si>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</si>
  <si>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</si>
  <si>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</si>
  <si>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</si>
  <si>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</si>
  <si>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</si>
  <si>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</si>
  <si>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</si>
  <si>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</si>
  <si>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</si>
  <si>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</si>
  <si>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</si>
  <si>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</si>
  <si>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</si>
  <si>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</si>
  <si>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</si>
  <si>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</si>
  <si>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</si>
  <si>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</si>
  <si>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</si>
  <si>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</si>
  <si>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</si>
  <si>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</si>
  <si>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0939.HK</t>
  </si>
  <si>
    <t>建设银行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</si>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</sst>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250010977486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0.10973531401728931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3339708</v>
      </c>
      <c r="D48" s="60">
        <v>0.9</v>
      </c>
      <c r="E48" s="112"/>
    </row>
    <row r="49" spans="2:5" ht="13.9" x14ac:dyDescent="0.4">
      <c r="B49" s="1" t="s">
        <v>136</v>
      </c>
      <c r="C49" s="59">
        <v>683021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2962684</v>
      </c>
      <c r="D51" s="60">
        <v>0.6</v>
      </c>
      <c r="E51" s="112"/>
    </row>
    <row r="52" spans="2:5" ht="13.9" x14ac:dyDescent="0.4">
      <c r="B52" s="3" t="s">
        <v>44</v>
      </c>
      <c r="C52" s="59">
        <v>6961515</v>
      </c>
      <c r="D52" s="60">
        <v>0.5</v>
      </c>
      <c r="E52" s="112"/>
    </row>
    <row r="53" spans="2:5" ht="13.9" x14ac:dyDescent="0.4">
      <c r="B53" s="1" t="s">
        <v>159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21347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4094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5722</v>
      </c>
      <c r="D70" s="60">
        <v>0.05</v>
      </c>
      <c r="E70" s="112"/>
    </row>
    <row r="71" spans="2:5" ht="13.9" x14ac:dyDescent="0.4">
      <c r="B71" s="3" t="s">
        <v>75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343468</v>
      </c>
      <c r="D72" s="249">
        <v>0</v>
      </c>
      <c r="E72" s="250"/>
    </row>
    <row r="73" spans="2:5" ht="13.9" x14ac:dyDescent="0.4">
      <c r="B73" s="3" t="s">
        <v>39</v>
      </c>
      <c r="C73" s="59">
        <v>33710837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2498474</v>
      </c>
    </row>
    <row r="77" spans="2:5" ht="14.25" thickBot="1" x14ac:dyDescent="0.45">
      <c r="B77" s="80" t="s">
        <v>16</v>
      </c>
      <c r="C77" s="83">
        <v>37038911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106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251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260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0939.HK</v>
      </c>
      <c r="D3" s="275"/>
      <c r="E3" s="87"/>
      <c r="F3" s="3" t="s">
        <v>1</v>
      </c>
      <c r="G3" s="132">
        <v>5.84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建设银行</v>
      </c>
      <c r="D4" s="277"/>
      <c r="E4" s="87"/>
      <c r="F4" s="3" t="s">
        <v>3</v>
      </c>
      <c r="G4" s="280">
        <f>Inputs!C10</f>
        <v>250010977486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1460064.10851824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0.47700776116848903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0.41780391047464605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0.28306166911094233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0.2597472795768383</v>
      </c>
    </row>
    <row r="26" spans="1:8" ht="15.75" customHeight="1" x14ac:dyDescent="0.4">
      <c r="B26" s="138" t="s">
        <v>174</v>
      </c>
      <c r="C26" s="172">
        <f>Fin_Analysis!I83</f>
        <v>0.36602055622301682</v>
      </c>
      <c r="F26" s="141" t="s">
        <v>195</v>
      </c>
      <c r="G26" s="179">
        <f>Fin_Analysis!H88*Exchange_Rate/G3</f>
        <v>7.3524498504046437E-2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3.5933700553380956</v>
      </c>
      <c r="D29" s="129">
        <f>G29*(1+G20)</f>
        <v>6.9071062072773683</v>
      </c>
      <c r="E29" s="87"/>
      <c r="F29" s="131">
        <f>IF(Fin_Analysis!C108="Profit",Fin_Analysis!F100,IF(Fin_Analysis!C108="Dividend",Fin_Analysis!F103,Fin_Analysis!F106))</f>
        <v>4.2274941827507009</v>
      </c>
      <c r="G29" s="271">
        <f>IF(Fin_Analysis!C108="Profit",Fin_Analysis!I100,IF(Fin_Analysis!C108="Dividend",Fin_Analysis!I103,Fin_Analysis!I106))</f>
        <v>6.0061793106759733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-13705380.24497783</v>
      </c>
      <c r="E6" s="56">
        <f>1-D6/D3</f>
        <v>5.2099466391329043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39</v>
      </c>
      <c r="I11" s="40">
        <f>Inputs!C73</f>
        <v>33710837</v>
      </c>
      <c r="J11" s="87"/>
      <c r="K11" s="24"/>
    </row>
    <row r="12" spans="1:11" ht="13.9" x14ac:dyDescent="0.4">
      <c r="B12" s="1" t="s">
        <v>136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43</v>
      </c>
      <c r="I14" s="206">
        <f>Inputs!C76</f>
        <v>2498474</v>
      </c>
      <c r="J14" s="87"/>
      <c r="K14" s="27"/>
    </row>
    <row r="15" spans="1:11" ht="13.9" x14ac:dyDescent="0.4">
      <c r="B15" s="3" t="s">
        <v>44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54</v>
      </c>
      <c r="I15" s="84">
        <f>SUM(I11:I14)</f>
        <v>36209311</v>
      </c>
      <c r="J15" s="87"/>
    </row>
    <row r="16" spans="1:11" ht="13.9" x14ac:dyDescent="0.4">
      <c r="B16" s="1" t="s">
        <v>159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16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36209311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96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161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0.28306166911094233</v>
      </c>
      <c r="D87" s="210"/>
      <c r="E87" s="263">
        <f>E86*Exchange_Rate/Dashboard!G3</f>
        <v>0.28306166911094233</v>
      </c>
      <c r="F87" s="210"/>
      <c r="H87" s="263">
        <f>H86*Exchange_Rate/Dashboard!G3</f>
        <v>0.28306166911094233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223</v>
      </c>
      <c r="C89" s="262">
        <f>C88*Exchange_Rate/Dashboard!G3</f>
        <v>0.10973531401728931</v>
      </c>
      <c r="D89" s="210"/>
      <c r="E89" s="262">
        <f>E88*Exchange_Rate/Dashboard!G3</f>
        <v>7.3524498504046437E-2</v>
      </c>
      <c r="F89" s="210"/>
      <c r="H89" s="262">
        <f>H88*Exchange_Rate/Dashboard!G3</f>
        <v>7.3524498504046437E-2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79.83605487225654</v>
      </c>
      <c r="H93" s="87" t="s">
        <v>211</v>
      </c>
      <c r="I93" s="144">
        <f>FV(H87,D93,0,-(H86/C93))*Exchange_Rate</f>
        <v>79.83605487225654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8.5030008095900573</v>
      </c>
      <c r="H94" s="87" t="s">
        <v>212</v>
      </c>
      <c r="I94" s="144">
        <f>FV(H89,D93,0,-(H88/C93))*Exchange_Rate</f>
        <v>8.5030008095900573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9923593.0054013822</v>
      </c>
      <c r="D97" s="214"/>
      <c r="E97" s="123">
        <f>PV(C94,D93,0,-F93)</f>
        <v>39.692629120483637</v>
      </c>
      <c r="F97" s="214"/>
      <c r="H97" s="123">
        <f>PV(C94,D93,0,-I93)</f>
        <v>39.692629120483637</v>
      </c>
      <c r="I97" s="123">
        <f>PV(C93,D93,0,-I93)</f>
        <v>56.392992516115832</v>
      </c>
      <c r="K97" s="24"/>
    </row>
    <row r="98" spans="2:11" ht="15" customHeight="1" x14ac:dyDescent="0.4">
      <c r="B98" s="28" t="s">
        <v>145</v>
      </c>
      <c r="C98" s="91">
        <f>E53*Exchange_Rate</f>
        <v>22344.021570881207</v>
      </c>
      <c r="D98" s="214"/>
      <c r="E98" s="214"/>
      <c r="F98" s="214"/>
      <c r="H98" s="123">
        <f>C98*Data!$C$4/Common_Shares</f>
        <v>8.9372161956898136E-2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-29995704.330985796</v>
      </c>
      <c r="D99" s="215"/>
      <c r="E99" s="146">
        <f>IF(H99&gt;0,H99*(1-C94),H99*(1+C94))</f>
        <v>-137.97418148395224</v>
      </c>
      <c r="F99" s="215"/>
      <c r="H99" s="146">
        <f>C99*Data!$C$4/Common_Shares</f>
        <v>-119.97754911648022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-20094455.347155295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1056919.9529458815</v>
      </c>
      <c r="D103" s="109">
        <f>MIN(F103*(1-C94),E103)</f>
        <v>3.5933700553380956</v>
      </c>
      <c r="E103" s="123">
        <f>PV(C94,D93,0,-F94)</f>
        <v>4.2274941827507009</v>
      </c>
      <c r="F103" s="109">
        <f>(E103+H103)/2</f>
        <v>4.2274941827507009</v>
      </c>
      <c r="H103" s="123">
        <f>PV(C94,D93,0,-I94)</f>
        <v>4.2274941827507009</v>
      </c>
      <c r="I103" s="109">
        <f>PV(C93,D93,0,-I94)</f>
        <v>6.0061793106759733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528459.97647294076</v>
      </c>
      <c r="D106" s="109">
        <f>(D100+D103)/2</f>
        <v>1.7966850276690478</v>
      </c>
      <c r="E106" s="123">
        <f>(E100+E103)/2</f>
        <v>2.1137470913753504</v>
      </c>
      <c r="F106" s="109">
        <f>(F100+F103)/2</f>
        <v>2.1137470913753504</v>
      </c>
      <c r="H106" s="123">
        <f>(H100+H103)/2</f>
        <v>2.1137470913753504</v>
      </c>
      <c r="I106" s="123">
        <f>(I100+I103)/2</f>
        <v>3.0030896553379867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