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06D995-51F1-431B-A8A0-2A7529822D0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<sst xmlns="http://schemas.openxmlformats.org/spreadsheetml/2006/main" count="390" uniqueCount="267">
  <si>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</si>
  <si>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</si>
  <si>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</si>
  <si>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</si>
  <si>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</si>
  <si>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</si>
  <si>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</si>
  <si>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</si>
  <si>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</si>
  <si>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</si>
  <si>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</si>
  <si>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</si>
  <si>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</si>
  <si>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</si>
  <si>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</si>
  <si>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</si>
  <si>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</si>
  <si>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</si>
  <si>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</si>
  <si>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</si>
  <si>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</si>
  <si>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</si>
  <si>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</si>
  <si>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</si>
  <si>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</si>
  <si>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</si>
  <si>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</si>
  <si>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</si>
  <si>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</si>
  <si>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</si>
  <si>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</si>
  <si>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</si>
  <si>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</si>
  <si>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</si>
  <si>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</si>
  <si>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</si>
  <si>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</si>
  <si>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</si>
  <si>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</si>
  <si>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</si>
  <si>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</si>
  <si>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</si>
  <si>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</si>
  <si>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</si>
  <si>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</si>
  <si>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</si>
  <si>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</si>
  <si>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</si>
  <si>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</si>
  <si>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</si>
  <si>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</si>
  <si>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</si>
  <si>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</si>
  <si>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</si>
  <si>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</si>
  <si>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</si>
  <si>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</si>
  <si>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</si>
  <si>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</si>
  <si>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</si>
  <si>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</si>
  <si>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</si>
  <si>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</si>
  <si>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</si>
  <si>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</si>
  <si>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</si>
  <si>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</si>
  <si>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</si>
  <si>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</si>
  <si>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</si>
  <si>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</si>
  <si>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</si>
  <si>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</si>
  <si>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</si>
  <si>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</si>
  <si>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</si>
  <si>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</si>
  <si>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</si>
  <si>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</si>
  <si>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</si>
  <si>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</si>
  <si>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</si>
  <si>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</si>
  <si>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</si>
  <si>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</si>
  <si>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</si>
  <si>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</si>
  <si>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</si>
  <si>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</si>
  <si>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</si>
  <si>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</si>
  <si>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</si>
  <si>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</si>
  <si>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</si>
  <si>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</si>
  <si>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</si>
  <si>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</si>
  <si>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</si>
  <si>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</si>
  <si>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</si>
  <si>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</si>
  <si>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</si>
  <si>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</si>
  <si>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</si>
  <si>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</si>
  <si>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</si>
  <si>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</si>
  <si>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</si>
  <si>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</si>
  <si>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</si>
  <si>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</si>
  <si>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</si>
  <si>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</si>
  <si>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</si>
  <si>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</si>
  <si>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</si>
  <si>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</si>
  <si>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</si>
  <si>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</si>
  <si>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</si>
  <si>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</si>
  <si>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</si>
  <si>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</si>
  <si>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</si>
  <si>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</si>
  <si>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</si>
  <si>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</si>
  <si>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</si>
  <si>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</si>
  <si>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</si>
  <si>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</si>
  <si>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</si>
  <si>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</si>
  <si>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</si>
  <si>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</si>
  <si>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</si>
  <si>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</si>
  <si>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</si>
  <si>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</si>
  <si>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</si>
  <si>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</si>
  <si>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</si>
  <si>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</si>
  <si>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</si>
  <si>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</si>
  <si>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</si>
  <si>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</si>
  <si>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</si>
  <si>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</si>
  <si>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</si>
  <si>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</si>
  <si>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</si>
  <si>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</si>
  <si>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</si>
  <si>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</si>
  <si>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</si>
  <si>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</si>
  <si>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</si>
  <si>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</si>
  <si>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</si>
  <si>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</si>
  <si>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</si>
  <si>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</si>
  <si>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</si>
  <si>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</si>
  <si>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</si>
  <si>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</si>
  <si>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</si>
  <si>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</si>
  <si>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</si>
  <si>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</si>
  <si>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</si>
  <si>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</si>
  <si>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</si>
  <si>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</si>
  <si>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</si>
  <si>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</si>
  <si>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</si>
  <si>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</si>
  <si>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</si>
  <si>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</si>
  <si>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</si>
  <si>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</si>
  <si>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</si>
  <si>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</si>
  <si>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</si>
  <si>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</si>
  <si>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</si>
  <si>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</si>
  <si>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</si>
  <si>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</si>
  <si>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</si>
  <si>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</si>
  <si>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</si>
  <si>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</si>
  <si>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</si>
  <si>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</si>
  <si>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</si>
  <si>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</si>
  <si>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</si>
  <si>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</si>
  <si>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</si>
  <si>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</si>
  <si>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</si>
  <si>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</si>
  <si>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</si>
  <si>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</si>
  <si>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</si>
  <si>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</si>
  <si>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</si>
  <si>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</si>
  <si>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</si>
  <si>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</si>
  <si>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</si>
  <si>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</si>
  <si>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</si>
  <si>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</si>
  <si>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</si>
  <si>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</si>
  <si>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</si>
  <si>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</si>
  <si>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</si>
  <si>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</si>
  <si>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</si>
  <si>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</si>
  <si>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</si>
  <si>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</si>
  <si>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</si>
  <si>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</si>
  <si>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</si>
  <si>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</si>
  <si>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</si>
  <si>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</si>
  <si>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</si>
  <si>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</si>
  <si>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</si>
  <si>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</si>
  <si>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</si>
  <si>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</si>
  <si>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</si>
  <si>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</si>
  <si>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</si>
  <si>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</si>
  <si>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</si>
  <si>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</si>
  <si>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</si>
  <si>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</si>
  <si>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</si>
  <si>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</si>
  <si>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</si>
  <si>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</si>
  <si>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</si>
  <si>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</si>
  <si>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</si>
  <si>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</si>
  <si>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</si>
  <si>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</si>
  <si>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</si>
  <si>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</si>
  <si>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</si>
  <si>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</si>
  <si>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0941.HK</t>
  </si>
  <si>
    <t>中国移动</t>
  </si>
  <si>
    <t>C0010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</si>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</sst>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261</v>
      </c>
    </row>
    <row r="5" spans="1:4" ht="13.9" x14ac:dyDescent="0.4">
      <c r="B5" s="141" t="s">
        <v>197</v>
      </c>
      <c r="C5" s="192" t="s">
        <v>262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263</v>
      </c>
    </row>
    <row r="10" spans="1:4" ht="13.9" x14ac:dyDescent="0.4">
      <c r="B10" s="140" t="s">
        <v>219</v>
      </c>
      <c r="C10" s="194">
        <v>21481669957</v>
      </c>
    </row>
    <row r="11" spans="1:4" ht="13.9" x14ac:dyDescent="0.4">
      <c r="B11" s="140" t="s">
        <v>220</v>
      </c>
      <c r="C11" s="193" t="s">
        <v>264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258</v>
      </c>
      <c r="C15" s="177" t="s">
        <v>265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242</v>
      </c>
      <c r="C18" s="243" t="s">
        <v>234</v>
      </c>
      <c r="D18" s="24"/>
    </row>
    <row r="19" spans="2:13" ht="13.9" x14ac:dyDescent="0.4">
      <c r="B19" s="241" t="s">
        <v>243</v>
      </c>
      <c r="C19" s="243" t="s">
        <v>234</v>
      </c>
      <c r="D19" s="24"/>
    </row>
    <row r="20" spans="2:13" ht="13.9" x14ac:dyDescent="0.4">
      <c r="B20" s="242" t="s">
        <v>230</v>
      </c>
      <c r="C20" s="243" t="s">
        <v>234</v>
      </c>
      <c r="D20" s="24"/>
    </row>
    <row r="21" spans="2:13" ht="13.9" x14ac:dyDescent="0.4">
      <c r="B21" s="225" t="s">
        <v>235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6.7853864075990075E-2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172891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176336</v>
      </c>
      <c r="D51" s="60">
        <v>0.6</v>
      </c>
      <c r="E51" s="112"/>
    </row>
    <row r="52" spans="2:5" ht="13.9" x14ac:dyDescent="0.4">
      <c r="B52" s="3" t="s">
        <v>44</v>
      </c>
      <c r="C52" s="59">
        <v>19344</v>
      </c>
      <c r="D52" s="60">
        <v>0.5</v>
      </c>
      <c r="E52" s="112"/>
    </row>
    <row r="53" spans="2:5" ht="13.9" x14ac:dyDescent="0.4">
      <c r="B53" s="1" t="s">
        <v>159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28822</v>
      </c>
      <c r="D54" s="60">
        <v>0.1</v>
      </c>
      <c r="E54" s="112"/>
    </row>
    <row r="55" spans="2:5" ht="13.9" x14ac:dyDescent="0.4">
      <c r="B55" s="3" t="s">
        <v>47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185013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94862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34291</v>
      </c>
      <c r="D70" s="60">
        <v>0.05</v>
      </c>
      <c r="E70" s="112"/>
    </row>
    <row r="71" spans="2:5" ht="13.9" x14ac:dyDescent="0.4">
      <c r="B71" s="3" t="s">
        <v>75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79740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33448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554255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62222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83483</v>
      </c>
    </row>
    <row r="83" spans="2:8" ht="14.25" thickTop="1" x14ac:dyDescent="0.4">
      <c r="B83" s="73" t="s">
        <v>222</v>
      </c>
      <c r="C83" s="59">
        <v>1379544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106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250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259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249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110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173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209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0941.HK</v>
      </c>
      <c r="D3" s="275"/>
      <c r="E3" s="87"/>
      <c r="F3" s="3" t="s">
        <v>1</v>
      </c>
      <c r="G3" s="132">
        <v>71.95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中国移动</v>
      </c>
      <c r="D4" s="277"/>
      <c r="E4" s="87"/>
      <c r="F4" s="3" t="s">
        <v>3</v>
      </c>
      <c r="G4" s="280">
        <f>Inputs!C10</f>
        <v>21481669957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1545606.1534061502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2.2325505205376484E-4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2.2215198715160572E-2</v>
      </c>
      <c r="F23" s="140" t="s">
        <v>190</v>
      </c>
      <c r="G23" s="178">
        <f>G3/(Data!C36*Data!C4/Common_Shares*Exchange_Rate)</f>
        <v>1.0404445281853016</v>
      </c>
    </row>
    <row r="24" spans="1:8" ht="15.75" customHeight="1" x14ac:dyDescent="0.4">
      <c r="B24" s="137" t="s">
        <v>171</v>
      </c>
      <c r="C24" s="172">
        <f>Fin_Analysis!I81</f>
        <v>3.6955976811858409E-3</v>
      </c>
      <c r="F24" s="140" t="s">
        <v>176</v>
      </c>
      <c r="G24" s="179">
        <f>(Fin_Analysis!H86*G7)/G3</f>
        <v>4.276502653833357E-2</v>
      </c>
    </row>
    <row r="25" spans="1:8" ht="15.75" customHeight="1" x14ac:dyDescent="0.4">
      <c r="B25" s="137" t="s">
        <v>247</v>
      </c>
      <c r="C25" s="172">
        <f>Fin_Analysis!I82</f>
        <v>2.5630406545468234E-2</v>
      </c>
      <c r="F25" s="140" t="s">
        <v>175</v>
      </c>
      <c r="G25" s="172">
        <f>Fin_Analysis!I88</f>
        <v>1.5866671803691612</v>
      </c>
    </row>
    <row r="26" spans="1:8" ht="15.75" customHeight="1" x14ac:dyDescent="0.4">
      <c r="B26" s="138" t="s">
        <v>174</v>
      </c>
      <c r="C26" s="172">
        <f>Fin_Analysis!I83</f>
        <v>8.1342449801464822E-2</v>
      </c>
      <c r="F26" s="141" t="s">
        <v>195</v>
      </c>
      <c r="G26" s="179">
        <f>Fin_Analysis!H88*Exchange_Rate/G3</f>
        <v>6.7853864075990075E-2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241</v>
      </c>
      <c r="G28" s="270" t="s">
        <v>260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39.788881215142169</v>
      </c>
      <c r="D29" s="129">
        <f>G29*(1+G20)</f>
        <v>76.481415548466899</v>
      </c>
      <c r="E29" s="87"/>
      <c r="F29" s="131">
        <f>IF(Fin_Analysis!C108="Profit",Fin_Analysis!F100,IF(Fin_Analysis!C108="Dividend",Fin_Analysis!F103,Fin_Analysis!F106))</f>
        <v>46.81044848840255</v>
      </c>
      <c r="G29" s="271">
        <f>IF(Fin_Analysis!C108="Profit",Fin_Analysis!I100,IF(Fin_Analysis!C108="Dividend",Fin_Analysis!I103,Fin_Analysis!I106))</f>
        <v>66.505578737797308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242</v>
      </c>
      <c r="C36" s="246" t="str">
        <f>Inputs!C18</f>
        <v>agree</v>
      </c>
    </row>
    <row r="37" spans="1:3" ht="15.75" customHeight="1" x14ac:dyDescent="0.4">
      <c r="A37"/>
      <c r="B37" s="20" t="s">
        <v>243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235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244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245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237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246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239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238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240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-25603.116998055219</v>
      </c>
      <c r="E6" s="56">
        <f>1-D6/D3</f>
        <v>1.0185011131819957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33448</v>
      </c>
      <c r="J12" s="87"/>
      <c r="K12" s="24"/>
    </row>
    <row r="13" spans="1:11" ht="13.9" x14ac:dyDescent="0.4">
      <c r="B13" s="3" t="s">
        <v>117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159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16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64</v>
      </c>
      <c r="I31" s="40">
        <f>Inputs!C79</f>
        <v>62222</v>
      </c>
      <c r="J31" s="87"/>
    </row>
    <row r="32" spans="2:10" ht="15" customHeight="1" x14ac:dyDescent="0.4">
      <c r="B32" s="3" t="s">
        <v>65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08">
        <f>Inputs!C82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1.0404445281853016</v>
      </c>
      <c r="E53" s="88">
        <f>IF(C53=0,0,MAX(C53,C53*Dashboard!G23))</f>
        <v>4499.92258440143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95670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96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173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236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110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126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161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4.276502653833357E-2</v>
      </c>
      <c r="D87" s="210"/>
      <c r="E87" s="263">
        <f>E86*Exchange_Rate/Dashboard!G3</f>
        <v>4.276502653833357E-2</v>
      </c>
      <c r="F87" s="210"/>
      <c r="H87" s="263">
        <f>H86*Exchange_Rate/Dashboard!G3</f>
        <v>4.276502653833357E-2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223</v>
      </c>
      <c r="C89" s="262">
        <f>C88*Exchange_Rate/Dashboard!G3</f>
        <v>6.7853864075990075E-2</v>
      </c>
      <c r="D89" s="210"/>
      <c r="E89" s="262">
        <f>E88*Exchange_Rate/Dashboard!G3</f>
        <v>6.7853864075990075E-2</v>
      </c>
      <c r="F89" s="210"/>
      <c r="H89" s="262">
        <f>H88*Exchange_Rate/Dashboard!G3</f>
        <v>6.7853864075990075E-2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52.688924296975891</v>
      </c>
      <c r="H93" s="87" t="s">
        <v>211</v>
      </c>
      <c r="I93" s="144">
        <f>FV(H87,D93,0,-(H86/C93))*Exchange_Rate</f>
        <v>52.688924296975891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94.152532017246955</v>
      </c>
      <c r="H94" s="87" t="s">
        <v>212</v>
      </c>
      <c r="I94" s="144">
        <f>FV(H89,D93,0,-(H88/C93))*Exchange_Rate</f>
        <v>94.152532017246955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241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562727.53997703083</v>
      </c>
      <c r="D97" s="214"/>
      <c r="E97" s="123">
        <f>PV(C94,D93,0,-F93)</f>
        <v>26.195707368349218</v>
      </c>
      <c r="F97" s="214"/>
      <c r="H97" s="123">
        <f>PV(C94,D93,0,-I93)</f>
        <v>26.195707368349218</v>
      </c>
      <c r="I97" s="123">
        <f>PV(C93,D93,0,-I93)</f>
        <v>37.217346452249274</v>
      </c>
      <c r="K97" s="24"/>
    </row>
    <row r="98" spans="2:11" ht="15" customHeight="1" x14ac:dyDescent="0.4">
      <c r="B98" s="28" t="s">
        <v>145</v>
      </c>
      <c r="C98" s="91">
        <f>E53*Exchange_Rate</f>
        <v>4830.4764493471566</v>
      </c>
      <c r="D98" s="214"/>
      <c r="E98" s="214"/>
      <c r="F98" s="214"/>
      <c r="H98" s="123">
        <f>C98*Data!$C$4/Common_Shares</f>
        <v>0.22486503419037501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557897.06352768373</v>
      </c>
      <c r="D100" s="109">
        <f>MIN(F100*(1-C94),E100)</f>
        <v>22.075215984035015</v>
      </c>
      <c r="E100" s="109">
        <f>MAX(E97-H98+E99,0)</f>
        <v>25.970842334158842</v>
      </c>
      <c r="F100" s="109">
        <f>(E100+H100)/2</f>
        <v>25.970842334158842</v>
      </c>
      <c r="H100" s="109">
        <f>MAX(C100*Data!$C$4/Common_Shares,0)</f>
        <v>25.970842334158842</v>
      </c>
      <c r="I100" s="109">
        <f>MAX(I97-H98+H99,0)</f>
        <v>36.992481418058901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241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1005566.6049670131</v>
      </c>
      <c r="D103" s="109">
        <f>MIN(F103*(1-C94),E103)</f>
        <v>39.788881215142169</v>
      </c>
      <c r="E103" s="123">
        <f>PV(C94,D93,0,-F94)</f>
        <v>46.81044848840255</v>
      </c>
      <c r="F103" s="109">
        <f>(E103+H103)/2</f>
        <v>46.81044848840255</v>
      </c>
      <c r="H103" s="123">
        <f>PV(C94,D93,0,-I94)</f>
        <v>46.81044848840255</v>
      </c>
      <c r="I103" s="109">
        <f>PV(C93,D93,0,-I94)</f>
        <v>66.505578737797308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241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781731.83424734836</v>
      </c>
      <c r="D106" s="109">
        <f>(D100+D103)/2</f>
        <v>30.93204859958859</v>
      </c>
      <c r="E106" s="123">
        <f>(E100+E103)/2</f>
        <v>36.390645411280694</v>
      </c>
      <c r="F106" s="109">
        <f>(F100+F103)/2</f>
        <v>36.390645411280694</v>
      </c>
      <c r="H106" s="123">
        <f>(H100+H103)/2</f>
        <v>36.390645411280694</v>
      </c>
      <c r="I106" s="123">
        <f>(I100+I103)/2</f>
        <v>51.749030077928104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