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04DA59-3ED7-476E-9363-30AFBD2F1B0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E95" i="4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<sst xmlns="http://schemas.openxmlformats.org/spreadsheetml/2006/main" count="403" uniqueCount="286">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</sst>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  <c r="D4" s="66"/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45606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1882267536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283</v>
      </c>
      <c r="D18" s="75"/>
    </row>
    <row r="19" spans="2:13" x14ac:dyDescent="0.35">
      <c r="B19" s="56" t="s">
        <v>213</v>
      </c>
      <c r="C19" s="126" t="s">
        <v>283</v>
      </c>
      <c r="D19" s="75"/>
    </row>
    <row r="20" spans="2:13" x14ac:dyDescent="0.35">
      <c r="B20" s="57" t="s">
        <v>202</v>
      </c>
      <c r="C20" s="126" t="s">
        <v>283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284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69317</v>
      </c>
      <c r="D25" s="80">
        <v>43948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2909</v>
      </c>
      <c r="D26" s="82">
        <v>2280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14624</v>
      </c>
      <c r="D27" s="82">
        <v>13795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27144</v>
      </c>
      <c r="D29" s="82">
        <v>9231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-10</v>
      </c>
      <c r="D30" s="82">
        <v>-14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1542086</v>
      </c>
      <c r="D37" s="82">
        <v>1709844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>
        <v>526844</v>
      </c>
      <c r="D38" s="82">
        <v>544067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166367</v>
      </c>
      <c r="D41" s="82">
        <v>168184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47</v>
      </c>
      <c r="D42" s="82">
        <v>53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3.2+1.2*3</f>
        <v>6.8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7.1466106148187061E-2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285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69317</v>
      </c>
      <c r="D91" s="103"/>
      <c r="E91" s="104">
        <f>C91</f>
        <v>69317</v>
      </c>
      <c r="F91" s="104">
        <f>C91</f>
        <v>69317</v>
      </c>
    </row>
    <row r="92" spans="2:8" x14ac:dyDescent="0.35">
      <c r="B92" s="105" t="s">
        <v>98</v>
      </c>
      <c r="C92" s="102">
        <f>C26</f>
        <v>2909</v>
      </c>
      <c r="D92" s="106">
        <f>C92/C91</f>
        <v>4.1966617135767562E-2</v>
      </c>
      <c r="E92" s="107">
        <f>E91*D92</f>
        <v>2909</v>
      </c>
      <c r="F92" s="107">
        <f>F91*D92</f>
        <v>2909</v>
      </c>
    </row>
    <row r="93" spans="2:8" x14ac:dyDescent="0.35">
      <c r="B93" s="105" t="s">
        <v>218</v>
      </c>
      <c r="C93" s="102">
        <f>C27+C28</f>
        <v>14624</v>
      </c>
      <c r="D93" s="106">
        <f>C93/C91</f>
        <v>0.2109727772407923</v>
      </c>
      <c r="E93" s="107">
        <f>E91*D93</f>
        <v>14624</v>
      </c>
      <c r="F93" s="107">
        <f>F91*D93</f>
        <v>14624</v>
      </c>
    </row>
    <row r="94" spans="2:8" x14ac:dyDescent="0.35">
      <c r="B94" s="105" t="s">
        <v>224</v>
      </c>
      <c r="C94" s="102">
        <f>C29</f>
        <v>27144</v>
      </c>
      <c r="D94" s="106">
        <f>C94/C91</f>
        <v>0.39159225009737869</v>
      </c>
      <c r="E94" s="108"/>
      <c r="F94" s="107">
        <f>F91*D94</f>
        <v>27144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6.8</v>
      </c>
      <c r="D98" s="110"/>
      <c r="E98" s="111">
        <f>F98</f>
        <v>6.8</v>
      </c>
      <c r="F98" s="111">
        <f>C98</f>
        <v>6.8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0011.HK : 恒生銀行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0011.HK</v>
      </c>
      <c r="D3" s="317"/>
      <c r="E3" s="3"/>
      <c r="F3" s="9" t="s">
        <v>1</v>
      </c>
      <c r="G3" s="10">
        <v>95.15</v>
      </c>
      <c r="H3" s="11" t="s">
        <v>259</v>
      </c>
    </row>
    <row r="4" spans="1:10" ht="15.75" customHeight="1" x14ac:dyDescent="0.35">
      <c r="B4" s="12" t="s">
        <v>171</v>
      </c>
      <c r="C4" s="311" t="str">
        <f>Inputs!C5</f>
        <v>恒生銀行</v>
      </c>
      <c r="D4" s="318"/>
      <c r="E4" s="3"/>
      <c r="F4" s="9" t="s">
        <v>3</v>
      </c>
      <c r="G4" s="321">
        <f>Inputs!C10</f>
        <v>1882267536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45606</v>
      </c>
      <c r="D5" s="320"/>
      <c r="E5" s="16"/>
      <c r="F5" s="12" t="s">
        <v>92</v>
      </c>
      <c r="G5" s="314">
        <f>G3*G4/1000000</f>
        <v>179097.75605040003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0.31135161135161138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0.74706060562344012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4.0572962791484458E-2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10.272083934583936</v>
      </c>
      <c r="F23" s="39" t="s">
        <v>166</v>
      </c>
      <c r="G23" s="40">
        <f>G3/(Data!C34*Data!C4/Common_Shares*Exchange_Rate)</f>
        <v>1.0765221230796975</v>
      </c>
    </row>
    <row r="24" spans="1:8" ht="15.75" customHeight="1" x14ac:dyDescent="0.35">
      <c r="B24" s="41" t="s">
        <v>241</v>
      </c>
      <c r="C24" s="42">
        <f>Fin_Analysis!I81</f>
        <v>0.39159225009737869</v>
      </c>
      <c r="F24" s="39" t="s">
        <v>226</v>
      </c>
      <c r="G24" s="43">
        <f>G3/(Fin_Analysis!H86*G7)</f>
        <v>9.5014088389355749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0.67902869264069265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7.1466106148187061E-2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225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73.451140185275548</v>
      </c>
      <c r="D29" s="54">
        <f>G29*(1+G20)</f>
        <v>139.06550013390716</v>
      </c>
      <c r="E29" s="3"/>
      <c r="F29" s="55">
        <f>IF(Fin_Analysis!C108="Profit",Fin_Analysis!F100,IF(Fin_Analysis!C108="Dividend",Fin_Analysis!F103,Fin_Analysis!F106))</f>
        <v>86.413106100324171</v>
      </c>
      <c r="G29" s="313">
        <f>IF(Fin_Analysis!C108="Profit",Fin_Analysis!I100,IF(Fin_Analysis!C108="Dividend",Fin_Analysis!I103,Fin_Analysis!I106))</f>
        <v>120.92652185557147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51784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69317</v>
      </c>
      <c r="D6" s="147">
        <f>IF(Inputs!D25="","",Inputs!D25)</f>
        <v>43948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0.57725038682078811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2909</v>
      </c>
      <c r="D8" s="149">
        <f>IF(Inputs!D26="","",Inputs!D26)</f>
        <v>2280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66408</v>
      </c>
      <c r="D9" s="279">
        <f t="shared" si="2"/>
        <v>41668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14624</v>
      </c>
      <c r="D10" s="149">
        <f>IF(Inputs!D27="","",Inputs!D27)</f>
        <v>13795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0.74706060562344012</v>
      </c>
      <c r="D13" s="300">
        <f t="shared" si="3"/>
        <v>0.63422681350687171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51784</v>
      </c>
      <c r="D14" s="302">
        <f t="shared" ref="D14:M14" si="4">IF(D6="","",D9-D10-MAX(D11,0)-MAX(D12,0))</f>
        <v>27873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0.85785527212714818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27144</v>
      </c>
      <c r="D17" s="149">
        <f>IF(Inputs!D29="","",Inputs!D29)</f>
        <v>9231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24640</v>
      </c>
      <c r="D22" s="283">
        <f t="shared" ref="D22:M22" si="8">IF(D6="","",D14-MAX(D16,0)-MAX(D17,0)-ABS(MAX(D21,0)-MAX(D19,0)))</f>
        <v>18642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0.27193329197743699</v>
      </c>
      <c r="D23" s="148">
        <f t="shared" si="9"/>
        <v>0.32450009101665606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18849.599999999999</v>
      </c>
      <c r="D24" s="282">
        <f>IF(D6="","",D22*(1-Fin_Analysis!$I$84))</f>
        <v>14261.130000000001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0.3217465937131207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1708453</v>
      </c>
      <c r="D27" s="153">
        <f>IF(D34="","",D34+D30)</f>
        <v>1878028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1542086</v>
      </c>
      <c r="D30" s="149">
        <f>IF(Inputs!D37="","",Inputs!D37)</f>
        <v>1709844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166367</v>
      </c>
      <c r="D34" s="149">
        <f>IF(Inputs!D41="","",Inputs!D41)</f>
        <v>168184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47</v>
      </c>
      <c r="D35" s="149">
        <f>IF(Inputs!D42="","",Inputs!D42)</f>
        <v>53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1708453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3.0310462154943683E-2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4.1966617135767562E-2</v>
      </c>
      <c r="D40" s="156">
        <f t="shared" si="34"/>
        <v>5.1879493947392372E-2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0.2109727772407923</v>
      </c>
      <c r="D41" s="151">
        <f t="shared" si="35"/>
        <v>0.31389369254573585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0.39159225009737869</v>
      </c>
      <c r="D43" s="151">
        <f t="shared" si="37"/>
        <v>0.21004368799490306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0.35546835552606143</v>
      </c>
      <c r="D46" s="289">
        <f t="shared" si="40"/>
        <v>0.42418312551196868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4.0572962791484458E-2</v>
      </c>
      <c r="D48" s="159">
        <f t="shared" si="41"/>
        <v>2.3401142049000335E-2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9.7351229445586149E-2</v>
      </c>
      <c r="D53" s="156">
        <f t="shared" si="45"/>
        <v>8.9525289292811394E-2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1.1016233766233767</v>
      </c>
      <c r="D55" s="151">
        <f t="shared" si="47"/>
        <v>0.49517219182491151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0.30837488652014422</v>
      </c>
      <c r="D56" s="151">
        <f>IF(D34="","",IF(Inputs!D38=0,0,Inputs!D38/D27))</f>
        <v>0.28970121851218406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0.31135161135161138</v>
      </c>
      <c r="D58" s="162">
        <f t="shared" si="49"/>
        <v>0.16578144423098656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0.14814814814814814</v>
      </c>
      <c r="D59" s="162">
        <f t="shared" si="50"/>
        <v>0.11087782740838989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166367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166320</v>
      </c>
      <c r="K3" s="75"/>
    </row>
    <row r="4" spans="1:11" ht="15" customHeight="1" x14ac:dyDescent="0.35">
      <c r="B4" s="9" t="s">
        <v>22</v>
      </c>
      <c r="C4" s="3"/>
      <c r="D4" s="149">
        <f>Inputs!C42</f>
        <v>47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-1542136.5965397847</v>
      </c>
      <c r="E6" s="176">
        <f>1-D6/D3</f>
        <v>10.26948611527397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1542086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1542086</v>
      </c>
      <c r="J48" s="193"/>
    </row>
    <row r="49" spans="2:11" ht="15" customHeight="1" thickTop="1" x14ac:dyDescent="0.35">
      <c r="B49" s="9" t="s">
        <v>14</v>
      </c>
      <c r="C49" s="190">
        <f>Inputs!C41+Inputs!C37</f>
        <v>1708453</v>
      </c>
      <c r="D49" s="176">
        <f>E49/C49</f>
        <v>0</v>
      </c>
      <c r="E49" s="182">
        <f>E28+E48</f>
        <v>0</v>
      </c>
      <c r="F49" s="3"/>
      <c r="G49" s="3"/>
      <c r="H49" s="9" t="s">
        <v>79</v>
      </c>
      <c r="I49" s="181">
        <f>Inputs!C37</f>
        <v>1542086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47</v>
      </c>
      <c r="D53" s="34">
        <f>IF(E53=0, 0,E53/C53)</f>
        <v>1.0765221230796975</v>
      </c>
      <c r="E53" s="182">
        <f>IF(C53=0,0,MAX(C53,C53*Dashboard!G23))</f>
        <v>50.596539784745787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-819.27035902509454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-819.27035902509454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-819.27035902509454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1708453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1542086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166367</v>
      </c>
      <c r="D70" s="34">
        <f t="shared" si="2"/>
        <v>-9.2691819892166123</v>
      </c>
      <c r="E70" s="208">
        <f>E68-E69</f>
        <v>-1542086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69317</v>
      </c>
      <c r="D74" s="103"/>
      <c r="E74" s="262">
        <f>Inputs!E91</f>
        <v>69317</v>
      </c>
      <c r="F74" s="103"/>
      <c r="H74" s="262">
        <f>Inputs!F91</f>
        <v>69317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2909</v>
      </c>
      <c r="D75" s="106">
        <f>C75/$C$74</f>
        <v>4.1966617135767562E-2</v>
      </c>
      <c r="E75" s="262">
        <f>Inputs!E92</f>
        <v>2909</v>
      </c>
      <c r="F75" s="217">
        <f>E75/E74</f>
        <v>4.1966617135767562E-2</v>
      </c>
      <c r="H75" s="262">
        <f>Inputs!F92</f>
        <v>2909</v>
      </c>
      <c r="I75" s="217">
        <f>H75/$H$74</f>
        <v>4.1966617135767562E-2</v>
      </c>
      <c r="K75" s="75"/>
    </row>
    <row r="76" spans="1:11" ht="15" customHeight="1" x14ac:dyDescent="0.35">
      <c r="B76" s="12" t="s">
        <v>88</v>
      </c>
      <c r="C76" s="150">
        <f>C74-C75</f>
        <v>66408</v>
      </c>
      <c r="D76" s="218"/>
      <c r="E76" s="219">
        <f>E74-E75</f>
        <v>66408</v>
      </c>
      <c r="F76" s="218"/>
      <c r="H76" s="219">
        <f>H74-H75</f>
        <v>66408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14624</v>
      </c>
      <c r="D77" s="106">
        <f>C77/$C$74</f>
        <v>0.2109727772407923</v>
      </c>
      <c r="E77" s="262">
        <f>Inputs!E93</f>
        <v>14624</v>
      </c>
      <c r="F77" s="217">
        <f>E77/E74</f>
        <v>0.2109727772407923</v>
      </c>
      <c r="H77" s="262">
        <f>Inputs!F93</f>
        <v>14624</v>
      </c>
      <c r="I77" s="217">
        <f>H77/$H$74</f>
        <v>0.2109727772407923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51784</v>
      </c>
      <c r="D79" s="223">
        <f>C79/C74</f>
        <v>0.74706060562344012</v>
      </c>
      <c r="E79" s="224">
        <f>E76-E77-E78</f>
        <v>51784</v>
      </c>
      <c r="F79" s="223">
        <f>E79/E74</f>
        <v>0.74706060562344012</v>
      </c>
      <c r="G79" s="225"/>
      <c r="H79" s="224">
        <f>H76-H77-H78</f>
        <v>51784</v>
      </c>
      <c r="I79" s="223">
        <f>H79/H74</f>
        <v>0.74706060562344012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27144</v>
      </c>
      <c r="D81" s="106">
        <f>C81/$C$74</f>
        <v>0.39159225009737869</v>
      </c>
      <c r="E81" s="220">
        <f>E74*F81</f>
        <v>27144</v>
      </c>
      <c r="F81" s="217">
        <f>I81</f>
        <v>0.39159225009737869</v>
      </c>
      <c r="H81" s="262">
        <f>Inputs!F94</f>
        <v>27144</v>
      </c>
      <c r="I81" s="217">
        <f>H81/$H$74</f>
        <v>0.39159225009737869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24640</v>
      </c>
      <c r="D83" s="229">
        <f>C83/$C$74</f>
        <v>0.35546835552606143</v>
      </c>
      <c r="E83" s="230">
        <f>E79-E81-E82-E80</f>
        <v>24640</v>
      </c>
      <c r="F83" s="229">
        <f>E83/E74</f>
        <v>0.35546835552606143</v>
      </c>
      <c r="H83" s="230">
        <f>H79-H81-H82-H80</f>
        <v>24640</v>
      </c>
      <c r="I83" s="229">
        <f>H83/$H$74</f>
        <v>0.35546835552606143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18849.599999999999</v>
      </c>
      <c r="D85" s="223">
        <f>C85/$C$74</f>
        <v>0.27193329197743699</v>
      </c>
      <c r="E85" s="235">
        <f>E83*(1-F84)</f>
        <v>18849.599999999999</v>
      </c>
      <c r="F85" s="223">
        <f>E85/E74</f>
        <v>0.27193329197743699</v>
      </c>
      <c r="G85" s="225"/>
      <c r="H85" s="235">
        <f>H83*(1-I84)</f>
        <v>18849.599999999999</v>
      </c>
      <c r="I85" s="223">
        <f>H85/$H$74</f>
        <v>0.27193329197743699</v>
      </c>
      <c r="K85" s="75"/>
    </row>
    <row r="86" spans="1:11" ht="15" customHeight="1" x14ac:dyDescent="0.35">
      <c r="B86" s="3" t="s">
        <v>146</v>
      </c>
      <c r="C86" s="236">
        <f>C85*Data!C4/Common_Shares</f>
        <v>10.014304364010451</v>
      </c>
      <c r="D86" s="103"/>
      <c r="E86" s="237">
        <f>E85*Data!C4/Common_Shares</f>
        <v>10.014304364010451</v>
      </c>
      <c r="F86" s="103"/>
      <c r="H86" s="237">
        <f>H85*Data!C4/Common_Shares</f>
        <v>10.014304364010451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0.10524754980567999</v>
      </c>
      <c r="D87" s="103"/>
      <c r="E87" s="239">
        <f>E86*Exchange_Rate/Dashboard!G3</f>
        <v>0.10524754980567999</v>
      </c>
      <c r="F87" s="103"/>
      <c r="H87" s="239">
        <f>H86*Exchange_Rate/Dashboard!G3</f>
        <v>0.10524754980567999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6.8</v>
      </c>
      <c r="D88" s="241">
        <f>C88/C86</f>
        <v>0.67902869264069265</v>
      </c>
      <c r="E88" s="261">
        <f>Inputs!E98</f>
        <v>6.8</v>
      </c>
      <c r="F88" s="241">
        <f>E88/E86</f>
        <v>0.67902869264069265</v>
      </c>
      <c r="H88" s="261">
        <f>Inputs!F98</f>
        <v>6.8</v>
      </c>
      <c r="I88" s="241">
        <f>H88/H86</f>
        <v>0.67902869264069265</v>
      </c>
      <c r="K88" s="75"/>
    </row>
    <row r="89" spans="1:11" ht="15" customHeight="1" x14ac:dyDescent="0.35">
      <c r="B89" s="3" t="s">
        <v>196</v>
      </c>
      <c r="C89" s="238">
        <f>C88*Exchange_Rate/Dashboard!G3</f>
        <v>7.1466106148187061E-2</v>
      </c>
      <c r="D89" s="103"/>
      <c r="E89" s="238">
        <f>E88*Exchange_Rate/Dashboard!G3</f>
        <v>7.1466106148187061E-2</v>
      </c>
      <c r="F89" s="103"/>
      <c r="H89" s="238">
        <f>H88*Exchange_Rate/Dashboard!G3</f>
        <v>7.1466106148187061E-2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185</v>
      </c>
      <c r="F93" s="243">
        <f>FV(E87,D93,0,-(E86/(C93-D94)))*Exchange_Rate</f>
        <v>298.94156817954922</v>
      </c>
      <c r="H93" s="3" t="s">
        <v>185</v>
      </c>
      <c r="I93" s="243">
        <f>FV(H87,D93,0,-(H86/(C93-D94)))*Exchange_Rate</f>
        <v>298.94156817954922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173.80762204908706</v>
      </c>
      <c r="H94" s="3" t="s">
        <v>186</v>
      </c>
      <c r="I94" s="243">
        <f>FV(H89,D93,0,-(H88/(C93-D94)))*Exchange_Rate</f>
        <v>173.80762204908706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279755.38727891725</v>
      </c>
      <c r="D97" s="250"/>
      <c r="E97" s="251">
        <f>PV(C94,D93,0,-F93)</f>
        <v>148.62679291245942</v>
      </c>
      <c r="F97" s="250"/>
      <c r="H97" s="251">
        <f>PV(C94,D93,0,-I93)</f>
        <v>148.62679291245942</v>
      </c>
      <c r="I97" s="251">
        <f>PV(C93,D93,0,-I93)</f>
        <v>207.98837042827461</v>
      </c>
      <c r="K97" s="75"/>
    </row>
    <row r="98" spans="2:11" ht="15" customHeight="1" x14ac:dyDescent="0.35">
      <c r="B98" s="18" t="s">
        <v>135</v>
      </c>
      <c r="C98" s="249">
        <f>-E53*Exchange_Rate</f>
        <v>-50.596539784745787</v>
      </c>
      <c r="D98" s="250"/>
      <c r="E98" s="250"/>
      <c r="F98" s="250"/>
      <c r="H98" s="251">
        <f>C98*Data!$C$4/Common_Shares</f>
        <v>-2.6880631375212641E-2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-1542086</v>
      </c>
      <c r="D99" s="254"/>
      <c r="E99" s="255">
        <f>IF(H99&gt;0,I64,H99)</f>
        <v>-819.27035902509454</v>
      </c>
      <c r="F99" s="254"/>
      <c r="H99" s="255">
        <f>I64</f>
        <v>-819.27035902509454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73.451140185275548</v>
      </c>
      <c r="E103" s="251">
        <f>PV(C94,D93,0,-F94)</f>
        <v>86.413106100324171</v>
      </c>
      <c r="F103" s="257">
        <f>(E103+H103)/2</f>
        <v>86.413106100324171</v>
      </c>
      <c r="H103" s="251">
        <f>PV(C94,D93,0,-I94)</f>
        <v>86.413106100324171</v>
      </c>
      <c r="I103" s="257">
        <f>PV(C93,D93,0,-I94)</f>
        <v>120.92652185557147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36.725570092637774</v>
      </c>
      <c r="E106" s="251">
        <f>(E100+E103)/2</f>
        <v>43.206553050162086</v>
      </c>
      <c r="F106" s="257">
        <f>(F100+F103)/2</f>
        <v>43.206553050162086</v>
      </c>
      <c r="H106" s="251">
        <f>(H100+H103)/2</f>
        <v>43.206553050162086</v>
      </c>
      <c r="I106" s="251">
        <f>(I100+I103)/2</f>
        <v>60.463260927785733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