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EAF24D-2CF9-4ECB-8290-CA43EC7B60D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37" i="4"/>
  <c r="E37" i="4"/>
  <c r="D37" i="4"/>
  <c r="C37" i="4"/>
  <c r="G2" i="1"/>
  <c r="F96" i="4" l="1"/>
  <c r="F95" i="4"/>
  <c r="E92" i="4"/>
  <c r="D56" i="4"/>
  <c r="D93" i="3"/>
  <c r="B11" i="5" l="1"/>
  <c r="B47" i="4" l="1"/>
  <c r="C49" i="3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27" i="2" l="1"/>
  <c r="E27" i="2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<sst xmlns="http://schemas.openxmlformats.org/spreadsheetml/2006/main" count="403" uniqueCount="288">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</sst>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677426000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25013339</v>
      </c>
      <c r="D25" s="80">
        <v>19751940</v>
      </c>
      <c r="E25" s="80">
        <v>21987559</v>
      </c>
      <c r="F25" s="80">
        <v>14997541</v>
      </c>
      <c r="G25" s="80">
        <v>17736226</v>
      </c>
      <c r="H25" s="80">
        <v>18806342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18409837</v>
      </c>
      <c r="D26" s="82">
        <v>15140010</v>
      </c>
      <c r="E26" s="82">
        <v>16431474</v>
      </c>
      <c r="F26" s="82">
        <v>10877614</v>
      </c>
      <c r="G26" s="82">
        <v>12958750</v>
      </c>
      <c r="H26" s="82">
        <v>14175208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5225366</v>
      </c>
      <c r="D27" s="82">
        <v>4709830</v>
      </c>
      <c r="E27" s="82">
        <v>4571128</v>
      </c>
      <c r="F27" s="82">
        <v>3136777</v>
      </c>
      <c r="G27" s="82">
        <v>3470831</v>
      </c>
      <c r="H27" s="82">
        <v>3388718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129899</v>
      </c>
      <c r="D29" s="82">
        <v>81860</v>
      </c>
      <c r="E29" s="82">
        <v>60486</v>
      </c>
      <c r="F29" s="82">
        <v>76137</v>
      </c>
      <c r="G29" s="82">
        <v>89162</v>
      </c>
      <c r="H29" s="82">
        <v>36991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-13497</v>
      </c>
      <c r="D30" s="82">
        <v>-10604</v>
      </c>
      <c r="E30" s="82">
        <v>-3488</v>
      </c>
      <c r="F30" s="82">
        <v>0</v>
      </c>
      <c r="G30" s="82">
        <v>0</v>
      </c>
      <c r="H30" s="82">
        <v>0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5391008+1339294</f>
        <v>6730302</v>
      </c>
      <c r="D37" s="82">
        <f>5356810+1423819</f>
        <v>6780629</v>
      </c>
      <c r="E37" s="82">
        <f>4182059+1163238</f>
        <v>5345297</v>
      </c>
      <c r="F37" s="82">
        <f>3657021+1150332</f>
        <v>4807353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v>229911</v>
      </c>
      <c r="D38" s="82">
        <v>119344</v>
      </c>
      <c r="E38" s="82">
        <v>219055</v>
      </c>
      <c r="F38" s="82">
        <v>94344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12167429</v>
      </c>
      <c r="D41" s="82">
        <v>11870228</v>
      </c>
      <c r="E41" s="82">
        <v>12743461</v>
      </c>
      <c r="F41" s="82">
        <v>12019114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-40166</v>
      </c>
      <c r="D42" s="82">
        <v>-20315</v>
      </c>
      <c r="E42" s="82">
        <v>-9659</v>
      </c>
      <c r="F42" s="82">
        <v>0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0.15+0.4</f>
        <v>0.55000000000000004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8.6614173228346469E-2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25013339</v>
      </c>
      <c r="D91" s="103"/>
      <c r="E91" s="104">
        <f>C91*0.7</f>
        <v>17509337.300000001</v>
      </c>
      <c r="F91" s="104">
        <f>C91*0.8</f>
        <v>20010671.199999999</v>
      </c>
    </row>
    <row r="92" spans="2:8" x14ac:dyDescent="0.35">
      <c r="B92" s="105" t="s">
        <v>98</v>
      </c>
      <c r="C92" s="102">
        <f>C26</f>
        <v>18409837</v>
      </c>
      <c r="D92" s="106">
        <f>C92/C91</f>
        <v>0.73600077942413045</v>
      </c>
      <c r="E92" s="107">
        <f>E91*D92</f>
        <v>12886885.9</v>
      </c>
      <c r="F92" s="107">
        <f>F91*D92</f>
        <v>14727869.6</v>
      </c>
    </row>
    <row r="93" spans="2:8" x14ac:dyDescent="0.35">
      <c r="B93" s="105" t="s">
        <v>219</v>
      </c>
      <c r="C93" s="102">
        <f>C27+C28</f>
        <v>5225366</v>
      </c>
      <c r="D93" s="106">
        <f>C93/C91</f>
        <v>0.20890317762054877</v>
      </c>
      <c r="E93" s="107">
        <f>E91*D93</f>
        <v>3657756.2</v>
      </c>
      <c r="F93" s="107">
        <f>F91*D93</f>
        <v>4180292.8</v>
      </c>
    </row>
    <row r="94" spans="2:8" x14ac:dyDescent="0.35">
      <c r="B94" s="105" t="s">
        <v>225</v>
      </c>
      <c r="C94" s="102">
        <f>C29</f>
        <v>129899</v>
      </c>
      <c r="D94" s="106">
        <f>C94/C91</f>
        <v>5.1931891220120593E-3</v>
      </c>
      <c r="E94" s="108"/>
      <c r="F94" s="107">
        <f>F91*D94</f>
        <v>103919.2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0.55000000000000004</v>
      </c>
      <c r="D98" s="110"/>
      <c r="E98" s="111">
        <f>F98*0.8</f>
        <v>0.44000000000000006</v>
      </c>
      <c r="F98" s="111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0116.HK : 周生生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0116.HK</v>
      </c>
      <c r="D3" s="317"/>
      <c r="E3" s="3"/>
      <c r="F3" s="9" t="s">
        <v>1</v>
      </c>
      <c r="G3" s="10">
        <v>6.35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周生生</v>
      </c>
      <c r="D4" s="318"/>
      <c r="E4" s="3"/>
      <c r="F4" s="9" t="s">
        <v>3</v>
      </c>
      <c r="G4" s="321">
        <f>Inputs!C10</f>
        <v>677426000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4">
        <f>G3*G4/1000000</f>
        <v>4301.6550999999999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0.11289168751093069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5.5096042955320758E-2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1.32361599389895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1.5480306317501522</v>
      </c>
      <c r="F23" s="39" t="s">
        <v>166</v>
      </c>
      <c r="G23" s="40">
        <f>G3/(Data!C34*Data!C4/Common_Shares*Exchange_Rate)</f>
        <v>0.35353854129742612</v>
      </c>
    </row>
    <row r="24" spans="1:8" ht="15.75" customHeight="1" x14ac:dyDescent="0.35">
      <c r="B24" s="41" t="s">
        <v>242</v>
      </c>
      <c r="C24" s="42">
        <f>Fin_Analysis!I81</f>
        <v>5.1931891220120593E-3</v>
      </c>
      <c r="F24" s="39" t="s">
        <v>227</v>
      </c>
      <c r="G24" s="43">
        <f>G3/(Fin_Analysis!H86*G7)</f>
        <v>5.7436409645497335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0.49748071346493766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8.6614173228346469E-2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5.5349211368195199</v>
      </c>
      <c r="D29" s="54">
        <f>G29*(1+G20)</f>
        <v>12.065847128003433</v>
      </c>
      <c r="E29" s="3"/>
      <c r="F29" s="55">
        <f>IF(Fin_Analysis!C108="Profit",Fin_Analysis!F100,IF(Fin_Analysis!C108="Dividend",Fin_Analysis!F103,Fin_Analysis!F106))</f>
        <v>6.5162240182175122</v>
      </c>
      <c r="G29" s="313">
        <f>IF(Fin_Analysis!C108="Profit",Fin_Analysis!I100,IF(Fin_Analysis!C108="Dividend",Fin_Analysis!I103,Fin_Analysis!I106))</f>
        <v>10.492040980872552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1242416</v>
      </c>
      <c r="G3" s="144">
        <f>C14</f>
        <v>1378136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1.7429143835659966E-2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25013339</v>
      </c>
      <c r="D6" s="147">
        <f>IF(Inputs!D25="","",Inputs!D25)</f>
        <v>19751940</v>
      </c>
      <c r="E6" s="147">
        <f>IF(Inputs!E25="","",Inputs!E25)</f>
        <v>21987559</v>
      </c>
      <c r="F6" s="147">
        <f>IF(Inputs!F25="","",Inputs!F25)</f>
        <v>14997541</v>
      </c>
      <c r="G6" s="147">
        <f>IF(Inputs!G25="","",Inputs!G25)</f>
        <v>17736226</v>
      </c>
      <c r="H6" s="147">
        <f>IF(Inputs!H25="","",Inputs!H25)</f>
        <v>18806342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0.26637378404349144</v>
      </c>
      <c r="D7" s="148">
        <f t="shared" si="1"/>
        <v>-0.10167654353991729</v>
      </c>
      <c r="E7" s="148">
        <f t="shared" si="1"/>
        <v>0.46607760565548717</v>
      </c>
      <c r="F7" s="148">
        <f t="shared" si="1"/>
        <v>-0.15441193633865513</v>
      </c>
      <c r="G7" s="148">
        <f t="shared" si="1"/>
        <v>-5.690186852924406E-2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18409837</v>
      </c>
      <c r="D8" s="149">
        <f>IF(Inputs!D26="","",Inputs!D26)</f>
        <v>15140010</v>
      </c>
      <c r="E8" s="149">
        <f>IF(Inputs!E26="","",Inputs!E26)</f>
        <v>16431474</v>
      </c>
      <c r="F8" s="149">
        <f>IF(Inputs!F26="","",Inputs!F26)</f>
        <v>10877614</v>
      </c>
      <c r="G8" s="149">
        <f>IF(Inputs!G26="","",Inputs!G26)</f>
        <v>12958750</v>
      </c>
      <c r="H8" s="149">
        <f>IF(Inputs!H26="","",Inputs!H26)</f>
        <v>14175208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6603502</v>
      </c>
      <c r="D9" s="279">
        <f t="shared" si="2"/>
        <v>4611930</v>
      </c>
      <c r="E9" s="279">
        <f t="shared" si="2"/>
        <v>5556085</v>
      </c>
      <c r="F9" s="279">
        <f t="shared" si="2"/>
        <v>4119927</v>
      </c>
      <c r="G9" s="279">
        <f t="shared" si="2"/>
        <v>4777476</v>
      </c>
      <c r="H9" s="279">
        <f t="shared" si="2"/>
        <v>4631134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5225366</v>
      </c>
      <c r="D10" s="149">
        <f>IF(Inputs!D27="","",Inputs!D27)</f>
        <v>4709830</v>
      </c>
      <c r="E10" s="149">
        <f>IF(Inputs!E27="","",Inputs!E27)</f>
        <v>4571128</v>
      </c>
      <c r="F10" s="149">
        <f>IF(Inputs!F27="","",Inputs!F27)</f>
        <v>3136777</v>
      </c>
      <c r="G10" s="149">
        <f>IF(Inputs!G27="","",Inputs!G27)</f>
        <v>3470831</v>
      </c>
      <c r="H10" s="149">
        <f>IF(Inputs!H27="","",Inputs!H27)</f>
        <v>3388718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5.5096042955320758E-2</v>
      </c>
      <c r="D13" s="300">
        <f t="shared" si="3"/>
        <v>-4.9564751614271816E-3</v>
      </c>
      <c r="E13" s="300">
        <f t="shared" si="3"/>
        <v>4.4796104924607595E-2</v>
      </c>
      <c r="F13" s="300">
        <f t="shared" si="3"/>
        <v>6.5554079832153819E-2</v>
      </c>
      <c r="G13" s="300">
        <f t="shared" si="3"/>
        <v>7.3670971490778253E-2</v>
      </c>
      <c r="H13" s="300">
        <f t="shared" si="3"/>
        <v>6.6063671499752577E-2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1378136</v>
      </c>
      <c r="D14" s="302">
        <f t="shared" ref="D14:M14" si="4">IF(D6="","",D9-D10-MAX(D11,0)-MAX(D12,0))</f>
        <v>-97900</v>
      </c>
      <c r="E14" s="302">
        <f t="shared" si="4"/>
        <v>984957</v>
      </c>
      <c r="F14" s="302">
        <f t="shared" si="4"/>
        <v>983150</v>
      </c>
      <c r="G14" s="302">
        <f t="shared" si="4"/>
        <v>1306645</v>
      </c>
      <c r="H14" s="302">
        <f t="shared" si="4"/>
        <v>1242416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>
        <f t="shared" si="5"/>
        <v>1.8379697909779789E-3</v>
      </c>
      <c r="F15" s="304">
        <f t="shared" si="5"/>
        <v>-0.24757680930933804</v>
      </c>
      <c r="G15" s="304">
        <f t="shared" si="5"/>
        <v>5.1696855159624473E-2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129899</v>
      </c>
      <c r="D17" s="149">
        <f>IF(Inputs!D29="","",Inputs!D29)</f>
        <v>81860</v>
      </c>
      <c r="E17" s="149">
        <f>IF(Inputs!E29="","",Inputs!E29)</f>
        <v>60486</v>
      </c>
      <c r="F17" s="149">
        <f>IF(Inputs!F29="","",Inputs!F29)</f>
        <v>76137</v>
      </c>
      <c r="G17" s="149">
        <f>IF(Inputs!G29="","",Inputs!G29)</f>
        <v>89162</v>
      </c>
      <c r="H17" s="149">
        <f>IF(Inputs!H29="","",Inputs!H29)</f>
        <v>36991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1248237</v>
      </c>
      <c r="D22" s="283">
        <f t="shared" ref="D22:M22" si="8">IF(D6="","",D14-MAX(D16,0)-MAX(D17,0)-ABS(MAX(D21,0)-MAX(D19,0)))</f>
        <v>-179760</v>
      </c>
      <c r="E22" s="283">
        <f t="shared" si="8"/>
        <v>924471</v>
      </c>
      <c r="F22" s="283">
        <f t="shared" si="8"/>
        <v>907013</v>
      </c>
      <c r="G22" s="283">
        <f t="shared" si="8"/>
        <v>1217483</v>
      </c>
      <c r="H22" s="283">
        <f t="shared" si="8"/>
        <v>1205425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3.7427140374981523E-2</v>
      </c>
      <c r="D23" s="148">
        <f t="shared" si="9"/>
        <v>-6.8256586441635602E-3</v>
      </c>
      <c r="E23" s="148">
        <f t="shared" si="9"/>
        <v>3.1533889232542821E-2</v>
      </c>
      <c r="F23" s="148">
        <f t="shared" si="9"/>
        <v>4.5358085702182777E-2</v>
      </c>
      <c r="G23" s="148">
        <f t="shared" si="9"/>
        <v>5.1482894388016932E-2</v>
      </c>
      <c r="H23" s="148">
        <f t="shared" si="9"/>
        <v>4.8072546484584824E-2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936177.75</v>
      </c>
      <c r="D24" s="282">
        <f>IF(D6="","",D22*(1-Fin_Analysis!$I$84))</f>
        <v>-134820</v>
      </c>
      <c r="E24" s="282">
        <f>IF(E6="","",E22*(1-Fin_Analysis!$I$84))</f>
        <v>693353.25</v>
      </c>
      <c r="F24" s="282">
        <f>IF(F6="","",F22*(1-Fin_Analysis!$I$84))</f>
        <v>680259.75</v>
      </c>
      <c r="G24" s="282">
        <f>IF(G6="","",G22*(1-Fin_Analysis!$I$84))</f>
        <v>913112.25</v>
      </c>
      <c r="H24" s="282">
        <f>IF(H6="","",H22*(1-Fin_Analysis!$I$84))</f>
        <v>904068.75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1.9247794684309927E-2</v>
      </c>
      <c r="F25" s="152">
        <f t="shared" si="10"/>
        <v>-0.25500972087495266</v>
      </c>
      <c r="G25" s="152">
        <f t="shared" si="10"/>
        <v>1.0003110935976937E-2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18897731</v>
      </c>
      <c r="D27" s="153">
        <f>IF(D34="","",D34+D30)</f>
        <v>18650857</v>
      </c>
      <c r="E27" s="153">
        <f t="shared" ref="E27:M27" si="20">IF(E34="","",E34+E30)</f>
        <v>18088758</v>
      </c>
      <c r="F27" s="153">
        <f t="shared" si="20"/>
        <v>16826467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6730302</v>
      </c>
      <c r="D30" s="149">
        <f>IF(Inputs!D37="","",Inputs!D37)</f>
        <v>6780629</v>
      </c>
      <c r="E30" s="149">
        <f>IF(Inputs!E37="","",Inputs!E37)</f>
        <v>5345297</v>
      </c>
      <c r="F30" s="149">
        <f>IF(Inputs!F37="","",Inputs!F37)</f>
        <v>4807353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12167429</v>
      </c>
      <c r="D34" s="149">
        <f>IF(Inputs!D41="","",Inputs!D41)</f>
        <v>11870228</v>
      </c>
      <c r="E34" s="149">
        <f>IF(Inputs!E41="","",Inputs!E41)</f>
        <v>12743461</v>
      </c>
      <c r="F34" s="149">
        <f>IF(Inputs!F41="","",Inputs!F41)</f>
        <v>12019114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-40166</v>
      </c>
      <c r="D35" s="149">
        <f>IF(Inputs!D42="","",Inputs!D42)</f>
        <v>-20315</v>
      </c>
      <c r="E35" s="149">
        <f>IF(Inputs!E42="","",Inputs!E42)</f>
        <v>-9659</v>
      </c>
      <c r="F35" s="149">
        <f>IF(Inputs!F42="","",Inputs!F42)</f>
        <v>0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18897731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7.2926003656206134E-2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0.73600077942413045</v>
      </c>
      <c r="D40" s="156">
        <f t="shared" si="34"/>
        <v>0.76650749242859184</v>
      </c>
      <c r="E40" s="156">
        <f t="shared" si="34"/>
        <v>0.74730778437024314</v>
      </c>
      <c r="F40" s="156">
        <f t="shared" si="34"/>
        <v>0.72529316639307739</v>
      </c>
      <c r="G40" s="156">
        <f t="shared" si="34"/>
        <v>0.73063739715540388</v>
      </c>
      <c r="H40" s="156">
        <f t="shared" si="34"/>
        <v>0.75374615648274401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0.20890317762054877</v>
      </c>
      <c r="D41" s="151">
        <f t="shared" si="35"/>
        <v>0.23844898273283535</v>
      </c>
      <c r="E41" s="151">
        <f t="shared" si="35"/>
        <v>0.20789611070514921</v>
      </c>
      <c r="F41" s="151">
        <f t="shared" si="35"/>
        <v>0.2091527537747688</v>
      </c>
      <c r="G41" s="151">
        <f t="shared" si="35"/>
        <v>0.1956916313538179</v>
      </c>
      <c r="H41" s="151">
        <f t="shared" si="35"/>
        <v>0.18019017201750345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5.1931891220120593E-3</v>
      </c>
      <c r="D43" s="151">
        <f t="shared" si="37"/>
        <v>4.1444030307908998E-3</v>
      </c>
      <c r="E43" s="151">
        <f t="shared" si="37"/>
        <v>2.7509192812171647E-3</v>
      </c>
      <c r="F43" s="151">
        <f t="shared" si="37"/>
        <v>5.0766322292434473E-3</v>
      </c>
      <c r="G43" s="151">
        <f t="shared" si="37"/>
        <v>5.0271123067556758E-3</v>
      </c>
      <c r="H43" s="151">
        <f t="shared" si="37"/>
        <v>1.9669428536394796E-3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4.9902853833308697E-2</v>
      </c>
      <c r="D46" s="289">
        <f t="shared" si="40"/>
        <v>-9.1008781922180815E-3</v>
      </c>
      <c r="E46" s="289">
        <f t="shared" si="40"/>
        <v>4.204518564339043E-2</v>
      </c>
      <c r="F46" s="289">
        <f t="shared" si="40"/>
        <v>6.0477447602910371E-2</v>
      </c>
      <c r="G46" s="289">
        <f t="shared" si="40"/>
        <v>6.8643859184022576E-2</v>
      </c>
      <c r="H46" s="289">
        <f t="shared" si="40"/>
        <v>6.4096728646113099E-2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1.32361599389895</v>
      </c>
      <c r="D48" s="159">
        <f t="shared" si="41"/>
        <v>1.0590365901148671</v>
      </c>
      <c r="E48" s="159">
        <f t="shared" si="41"/>
        <v>1.2155372414181227</v>
      </c>
      <c r="F48" s="159">
        <f t="shared" si="41"/>
        <v>0.89130659454536709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0.64598204937936732</v>
      </c>
      <c r="D53" s="156">
        <f t="shared" si="45"/>
        <v>0.63753333157827552</v>
      </c>
      <c r="E53" s="156">
        <f t="shared" si="45"/>
        <v>0.70503016293324283</v>
      </c>
      <c r="F53" s="156">
        <f t="shared" si="45"/>
        <v>0.71429813519379914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0.10406597465064728</v>
      </c>
      <c r="D55" s="151">
        <f t="shared" si="47"/>
        <v>-0.4553849577214063</v>
      </c>
      <c r="E55" s="151">
        <f t="shared" si="47"/>
        <v>6.5427687834448023E-2</v>
      </c>
      <c r="F55" s="151">
        <f t="shared" si="47"/>
        <v>8.3942567526595541E-2</v>
      </c>
      <c r="G55" s="151">
        <f t="shared" si="47"/>
        <v>7.3234698143629109E-2</v>
      </c>
      <c r="H55" s="151">
        <f t="shared" si="47"/>
        <v>3.0687102059439617E-2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1.2166063745959766E-2</v>
      </c>
      <c r="D56" s="151">
        <f>IF(D34="","",IF(Inputs!D38=0,0,Inputs!D38/D27))</f>
        <v>6.3988480529339753E-3</v>
      </c>
      <c r="E56" s="151">
        <f>IF(E34="","",IF(Inputs!E38=0,0,Inputs!E38/E27))</f>
        <v>1.2110007773889174E-2</v>
      </c>
      <c r="F56" s="151">
        <f>IF(F34="","",IF(Inputs!F38=0,0,Inputs!F38/F27))</f>
        <v>5.6068811117627963E-3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0.11289168751093069</v>
      </c>
      <c r="D58" s="162">
        <f t="shared" si="49"/>
        <v>-8.2334339146664711E-3</v>
      </c>
      <c r="E58" s="162">
        <f t="shared" si="49"/>
        <v>7.7232630132861607E-2</v>
      </c>
      <c r="F58" s="162">
        <f t="shared" si="49"/>
        <v>8.1798874692427415E-2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0.10225085285021333</v>
      </c>
      <c r="D59" s="162">
        <f t="shared" si="50"/>
        <v>-1.5117896634325279E-2</v>
      </c>
      <c r="E59" s="162">
        <f t="shared" si="50"/>
        <v>7.2489790733561668E-2</v>
      </c>
      <c r="F59" s="162">
        <f t="shared" si="50"/>
        <v>7.546421474993914E-2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12167429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12207595</v>
      </c>
      <c r="K3" s="75"/>
    </row>
    <row r="4" spans="1:11" ht="15" customHeight="1" x14ac:dyDescent="0.35">
      <c r="B4" s="9" t="s">
        <v>22</v>
      </c>
      <c r="C4" s="3"/>
      <c r="D4" s="149">
        <f>Inputs!C42</f>
        <v>-40166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-6730302</v>
      </c>
      <c r="E6" s="176">
        <f>1-D6/D3</f>
        <v>1.5531408484076628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6730302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6730302</v>
      </c>
      <c r="J48" s="193"/>
    </row>
    <row r="49" spans="2:11" ht="15" customHeight="1" thickTop="1" x14ac:dyDescent="0.35">
      <c r="B49" s="9" t="s">
        <v>14</v>
      </c>
      <c r="C49" s="190">
        <f>Inputs!C41+Inputs!C37</f>
        <v>18897731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6730302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-9.9351102555851121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-9.9351102555851121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-9.9351102555851121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18897731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6730302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12167429</v>
      </c>
      <c r="D70" s="34">
        <f t="shared" si="2"/>
        <v>-0.55314084840766276</v>
      </c>
      <c r="E70" s="208">
        <f>E68-E69</f>
        <v>-6730302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25013339</v>
      </c>
      <c r="D74" s="103"/>
      <c r="E74" s="262">
        <f>Inputs!E91</f>
        <v>17509337.300000001</v>
      </c>
      <c r="F74" s="103"/>
      <c r="H74" s="262">
        <f>Inputs!F91</f>
        <v>20010671.199999999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18409837</v>
      </c>
      <c r="D75" s="106">
        <f>C75/$C$74</f>
        <v>0.73600077942413045</v>
      </c>
      <c r="E75" s="262">
        <f>Inputs!E92</f>
        <v>12886885.9</v>
      </c>
      <c r="F75" s="217">
        <f>E75/E74</f>
        <v>0.73600077942413045</v>
      </c>
      <c r="H75" s="262">
        <f>Inputs!F92</f>
        <v>14727869.6</v>
      </c>
      <c r="I75" s="217">
        <f>H75/$H$74</f>
        <v>0.73600077942413045</v>
      </c>
      <c r="K75" s="75"/>
    </row>
    <row r="76" spans="1:11" ht="15" customHeight="1" x14ac:dyDescent="0.35">
      <c r="B76" s="12" t="s">
        <v>88</v>
      </c>
      <c r="C76" s="150">
        <f>C74-C75</f>
        <v>6603502</v>
      </c>
      <c r="D76" s="218"/>
      <c r="E76" s="219">
        <f>E74-E75</f>
        <v>4622451.4000000004</v>
      </c>
      <c r="F76" s="218"/>
      <c r="H76" s="219">
        <f>H74-H75</f>
        <v>5282801.5999999996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5225366</v>
      </c>
      <c r="D77" s="106">
        <f>C77/$C$74</f>
        <v>0.20890317762054877</v>
      </c>
      <c r="E77" s="262">
        <f>Inputs!E93</f>
        <v>3657756.2</v>
      </c>
      <c r="F77" s="217">
        <f>E77/E74</f>
        <v>0.20890317762054877</v>
      </c>
      <c r="H77" s="262">
        <f>Inputs!F93</f>
        <v>4180292.8</v>
      </c>
      <c r="I77" s="217">
        <f>H77/$H$74</f>
        <v>0.20890317762054877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1378136</v>
      </c>
      <c r="D79" s="223">
        <f>C79/C74</f>
        <v>5.5096042955320758E-2</v>
      </c>
      <c r="E79" s="224">
        <f>E76-E77-E78</f>
        <v>964695.20000000019</v>
      </c>
      <c r="F79" s="223">
        <f>E79/E74</f>
        <v>5.5096042955320765E-2</v>
      </c>
      <c r="G79" s="225"/>
      <c r="H79" s="224">
        <f>H76-H77-H78</f>
        <v>1102508.7999999998</v>
      </c>
      <c r="I79" s="223">
        <f>H79/H74</f>
        <v>5.5096042955320751E-2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129899</v>
      </c>
      <c r="D81" s="106">
        <f>C81/$C$74</f>
        <v>5.1931891220120593E-3</v>
      </c>
      <c r="E81" s="220">
        <f>E74*F81</f>
        <v>90929.3</v>
      </c>
      <c r="F81" s="217">
        <f>I81</f>
        <v>5.1931891220120593E-3</v>
      </c>
      <c r="H81" s="262">
        <f>Inputs!F94</f>
        <v>103919.2</v>
      </c>
      <c r="I81" s="217">
        <f>H81/$H$74</f>
        <v>5.1931891220120593E-3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1248237</v>
      </c>
      <c r="D83" s="229">
        <f>C83/$C$74</f>
        <v>4.9902853833308697E-2</v>
      </c>
      <c r="E83" s="230">
        <f>E79-E81-E82-E80</f>
        <v>873765.90000000014</v>
      </c>
      <c r="F83" s="229">
        <f>E83/E74</f>
        <v>4.9902853833308704E-2</v>
      </c>
      <c r="H83" s="230">
        <f>H79-H81-H82-H80</f>
        <v>998589.59999999986</v>
      </c>
      <c r="I83" s="229">
        <f>H83/$H$74</f>
        <v>4.9902853833308697E-2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936177.75</v>
      </c>
      <c r="D85" s="223">
        <f>C85/$C$74</f>
        <v>3.7427140374981523E-2</v>
      </c>
      <c r="E85" s="235">
        <f>E83*(1-F84)</f>
        <v>655324.42500000005</v>
      </c>
      <c r="F85" s="223">
        <f>E85/E74</f>
        <v>3.7427140374981523E-2</v>
      </c>
      <c r="G85" s="225"/>
      <c r="H85" s="235">
        <f>H83*(1-I84)</f>
        <v>748942.2</v>
      </c>
      <c r="I85" s="223">
        <f>H85/$H$74</f>
        <v>3.7427140374981523E-2</v>
      </c>
      <c r="K85" s="75"/>
    </row>
    <row r="86" spans="1:11" ht="15" customHeight="1" x14ac:dyDescent="0.35">
      <c r="B86" s="3" t="s">
        <v>146</v>
      </c>
      <c r="C86" s="236">
        <f>C85*Data!C4/Common_Shares</f>
        <v>1.3819631221712778</v>
      </c>
      <c r="D86" s="103"/>
      <c r="E86" s="237">
        <f>E85*Data!C4/Common_Shares</f>
        <v>0.9673741855198944</v>
      </c>
      <c r="F86" s="103"/>
      <c r="H86" s="237">
        <f>H85*Data!C4/Common_Shares</f>
        <v>1.1055704977370222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0.21763198774350834</v>
      </c>
      <c r="D87" s="103"/>
      <c r="E87" s="239">
        <f>E86*Exchange_Rate/Dashboard!G3</f>
        <v>0.15234239142045583</v>
      </c>
      <c r="F87" s="103"/>
      <c r="H87" s="239">
        <f>H86*Exchange_Rate/Dashboard!G3</f>
        <v>0.17410559019480665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0.55000000000000004</v>
      </c>
      <c r="D88" s="241">
        <f>C88/C86</f>
        <v>0.3979845707719501</v>
      </c>
      <c r="E88" s="261">
        <f>Inputs!E98</f>
        <v>0.44000000000000006</v>
      </c>
      <c r="F88" s="241">
        <f>E88/E86</f>
        <v>0.45483950945365731</v>
      </c>
      <c r="H88" s="261">
        <f>Inputs!F98</f>
        <v>0.55000000000000004</v>
      </c>
      <c r="I88" s="241">
        <f>H88/H86</f>
        <v>0.49748071346493766</v>
      </c>
      <c r="K88" s="75"/>
    </row>
    <row r="89" spans="1:11" ht="15" customHeight="1" x14ac:dyDescent="0.35">
      <c r="B89" s="3" t="s">
        <v>196</v>
      </c>
      <c r="C89" s="238">
        <f>C88*Exchange_Rate/Dashboard!G3</f>
        <v>8.6614173228346469E-2</v>
      </c>
      <c r="D89" s="103"/>
      <c r="E89" s="238">
        <f>E88*Exchange_Rate/Dashboard!G3</f>
        <v>6.9291338582677178E-2</v>
      </c>
      <c r="F89" s="103"/>
      <c r="H89" s="238">
        <f>H88*Exchange_Rate/Dashboard!G3</f>
        <v>8.6614173228346469E-2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35.577047603379661</v>
      </c>
      <c r="H93" s="3" t="s">
        <v>185</v>
      </c>
      <c r="I93" s="243">
        <f>FV(H87,D93,0,-(H86/(C93-D94)))*Exchange_Rate</f>
        <v>44.646758976671727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11.132703410787609</v>
      </c>
      <c r="H94" s="3" t="s">
        <v>186</v>
      </c>
      <c r="I94" s="243">
        <f>FV(H89,D93,0,-(H88/(C93-D94)))*Exchange_Rate</f>
        <v>15.080204618016229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15037048.38429193</v>
      </c>
      <c r="D97" s="250"/>
      <c r="E97" s="251">
        <f>PV(C94,D93,0,-F93)</f>
        <v>17.688080379000148</v>
      </c>
      <c r="F97" s="250"/>
      <c r="H97" s="251">
        <f>PV(C94,D93,0,-I93)</f>
        <v>22.197329869671268</v>
      </c>
      <c r="I97" s="251">
        <f>PV(C93,D93,0,-I93)</f>
        <v>31.062948859907515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-6730302</v>
      </c>
      <c r="D99" s="254"/>
      <c r="E99" s="255">
        <f>IF(H99&gt;0,I64,H99)</f>
        <v>-9.9351102555851121</v>
      </c>
      <c r="F99" s="254"/>
      <c r="H99" s="255">
        <f>I64</f>
        <v>-9.9351102555851121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7.7529701234150359</v>
      </c>
      <c r="E100" s="257">
        <f>MAX(E97+H98+E99,0)</f>
        <v>7.7529701234150359</v>
      </c>
      <c r="F100" s="257">
        <f>(E100+H100)/2</f>
        <v>10.007594868750596</v>
      </c>
      <c r="H100" s="257">
        <f>MAX(H97+H98+H99,0)</f>
        <v>12.262219614086156</v>
      </c>
      <c r="I100" s="257">
        <f>MAX(I97+H98+H99,0)</f>
        <v>21.127838604322402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5.5349211368195199</v>
      </c>
      <c r="E103" s="251">
        <f>PV(C94,D93,0,-F94)</f>
        <v>5.5349211368195199</v>
      </c>
      <c r="F103" s="257">
        <f>(E103+H103)/2</f>
        <v>6.5162240182175122</v>
      </c>
      <c r="H103" s="251">
        <f>PV(C94,D93,0,-I94)</f>
        <v>7.4975268996155036</v>
      </c>
      <c r="I103" s="257">
        <f>PV(C93,D93,0,-I94)</f>
        <v>10.492040980872552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6.6439456301172779</v>
      </c>
      <c r="E106" s="251">
        <f>(E100+E103)/2</f>
        <v>6.6439456301172779</v>
      </c>
      <c r="F106" s="257">
        <f>(F100+F103)/2</f>
        <v>8.2619094434840541</v>
      </c>
      <c r="H106" s="251">
        <f>(H100+H103)/2</f>
        <v>9.8798732568508303</v>
      </c>
      <c r="I106" s="251">
        <f>(I100+I103)/2</f>
        <v>15.809939792597477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