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739E86A-1578-4E81-BDC5-C16336D4FA52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G2" i="1"/>
  <c r="F97" i="4" l="1"/>
  <c r="E92" i="4"/>
  <c r="F92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<sst xmlns="http://schemas.openxmlformats.org/spreadsheetml/2006/main" count="403" uniqueCount="285">
  <si>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</si>
  <si>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</si>
  <si>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</si>
  <si>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</si>
  <si>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</si>
  <si>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</si>
  <si>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</si>
  <si>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</si>
  <si>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</si>
  <si>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</si>
  <si>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</si>
  <si>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</si>
  <si>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</si>
  <si>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</si>
  <si>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</si>
  <si>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</si>
  <si>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</si>
  <si>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</si>
  <si>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</si>
  <si>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</si>
  <si>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</si>
  <si>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</si>
  <si>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</si>
  <si>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</si>
  <si>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</si>
  <si>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</si>
  <si>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</si>
  <si>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</si>
  <si>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</si>
  <si>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</si>
  <si>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</si>
  <si>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</si>
  <si>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</si>
  <si>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</si>
  <si>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</si>
  <si>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</si>
  <si>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</si>
  <si>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</si>
  <si>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</si>
  <si>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</si>
  <si>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</si>
  <si>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</si>
  <si>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</si>
  <si>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</si>
  <si>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</si>
  <si>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</si>
  <si>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</si>
  <si>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</si>
  <si>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</si>
  <si>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</si>
  <si>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</si>
  <si>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</si>
  <si>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</si>
  <si>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</si>
  <si>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</si>
  <si>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</si>
  <si>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</si>
  <si>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</si>
  <si>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</si>
  <si>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</si>
  <si>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</si>
  <si>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</si>
  <si>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</si>
  <si>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</si>
  <si>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</si>
  <si>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</si>
  <si>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</si>
  <si>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</si>
  <si>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</si>
  <si>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</si>
  <si>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</si>
  <si>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</si>
  <si>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</si>
  <si>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</si>
  <si>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</si>
  <si>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</si>
  <si>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</si>
  <si>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</si>
  <si>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</si>
  <si>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</si>
  <si>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</si>
  <si>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</si>
  <si>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</si>
  <si>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</si>
  <si>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</si>
  <si>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</si>
  <si>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</si>
  <si>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</si>
  <si>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</si>
  <si>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</si>
  <si>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</si>
  <si>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</si>
  <si>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</si>
  <si>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</si>
  <si>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</si>
  <si>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</si>
  <si>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</si>
  <si>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</si>
  <si>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</si>
  <si>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</si>
  <si>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</si>
  <si>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</si>
  <si>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</si>
  <si>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</si>
  <si>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</si>
  <si>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</si>
  <si>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</si>
  <si>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</si>
  <si>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</si>
  <si>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</si>
  <si>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</si>
  <si>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</si>
  <si>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</si>
  <si>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</si>
  <si>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</si>
  <si>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</si>
  <si>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</si>
  <si>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</si>
  <si>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</si>
  <si>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</si>
  <si>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</si>
  <si>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</si>
  <si>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</si>
  <si>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</si>
  <si>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</si>
  <si>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</si>
  <si>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</si>
  <si>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</si>
  <si>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</si>
  <si>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</si>
  <si>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</si>
  <si>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</si>
  <si>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</si>
  <si>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</si>
  <si>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</si>
  <si>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</si>
  <si>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</si>
  <si>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</si>
  <si>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</si>
  <si>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</si>
  <si>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</si>
  <si>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</si>
  <si>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</si>
  <si>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</si>
  <si>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</si>
  <si>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</si>
  <si>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</si>
  <si>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</si>
  <si>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</si>
  <si>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</si>
  <si>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</si>
  <si>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</si>
  <si>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</si>
  <si>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</si>
  <si>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</si>
  <si>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</si>
  <si>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</si>
  <si>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</si>
  <si>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</si>
  <si>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</si>
  <si>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</si>
  <si>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</si>
  <si>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</si>
  <si>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</si>
  <si>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</si>
  <si>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</si>
  <si>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</si>
  <si>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</si>
  <si>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</si>
  <si>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</si>
  <si>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</si>
  <si>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</si>
  <si>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</si>
  <si>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</si>
  <si>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</si>
  <si>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</si>
  <si>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</si>
  <si>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</si>
  <si>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</si>
  <si>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</si>
  <si>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</si>
  <si>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</si>
  <si>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</si>
  <si>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</si>
  <si>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</si>
  <si>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</si>
  <si>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</si>
  <si>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</si>
  <si>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</si>
  <si>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</si>
  <si>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</si>
  <si>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</si>
  <si>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</si>
  <si>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</si>
  <si>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</si>
  <si>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</si>
  <si>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</si>
  <si>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</si>
  <si>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</si>
  <si>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</si>
  <si>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</si>
  <si>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</si>
  <si>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</si>
  <si>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</si>
  <si>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</si>
  <si>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</si>
  <si>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</si>
  <si>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</si>
  <si>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</si>
  <si>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</si>
  <si>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</si>
  <si>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</si>
  <si>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</si>
  <si>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</si>
  <si>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</si>
  <si>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</si>
  <si>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</si>
  <si>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</si>
  <si>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</si>
  <si>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</si>
  <si>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</si>
  <si>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</si>
  <si>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</si>
  <si>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</si>
  <si>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</si>
  <si>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</si>
  <si>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</si>
  <si>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</si>
  <si>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</si>
  <si>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</si>
  <si>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</si>
  <si>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</si>
  <si>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</si>
  <si>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</si>
  <si>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</si>
  <si>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</si>
  <si>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</si>
  <si>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</si>
  <si>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</si>
  <si>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</si>
  <si>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</si>
  <si>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</si>
  <si>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</si>
  <si>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</si>
  <si>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</si>
  <si>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</si>
  <si>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</si>
  <si>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</si>
  <si>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</si>
  <si>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</si>
  <si>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</si>
  <si>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</si>
  <si>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</si>
  <si>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</si>
  <si>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</si>
  <si>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</si>
  <si>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</si>
  <si>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</si>
  <si>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</si>
  <si>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</si>
  <si>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</si>
  <si>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</si>
  <si>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</si>
  <si>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</si>
  <si>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</si>
  <si>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</si>
  <si>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</si>
  <si>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</si>
  <si>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</si>
  <si>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</si>
  <si>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</si>
  <si>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</si>
  <si>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</si>
  <si>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</si>
  <si>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</si>
  <si>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</si>
  <si>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</si>
  <si>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Unclear</t>
  </si>
  <si>
    <t>Profit</t>
  </si>
  <si>
    <t>Reinvest Nonop @</t>
    <phoneticPr fontId="3" type="noConversion"/>
  </si>
  <si>
    <t>PlaceHolder_5</t>
    <phoneticPr fontId="3" type="noConversion"/>
  </si>
  <si>
    <t>0175.HK</t>
  </si>
  <si>
    <t>吉利汽車</t>
  </si>
  <si>
    <t>C0006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</si>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</sst>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281</v>
      </c>
      <c r="D4" s="66"/>
    </row>
    <row r="5" spans="1:5" x14ac:dyDescent="0.35">
      <c r="B5" s="46" t="s">
        <v>170</v>
      </c>
      <c r="C5" s="67" t="s">
        <v>282</v>
      </c>
    </row>
    <row r="6" spans="1:5" x14ac:dyDescent="0.35">
      <c r="B6" s="46" t="s">
        <v>271</v>
      </c>
      <c r="C6" s="68">
        <v>45633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283</v>
      </c>
    </row>
    <row r="10" spans="1:5" x14ac:dyDescent="0.35">
      <c r="B10" s="39" t="s">
        <v>192</v>
      </c>
      <c r="C10" s="70">
        <v>10071700480</v>
      </c>
    </row>
    <row r="11" spans="1:5" x14ac:dyDescent="0.35">
      <c r="B11" s="39" t="s">
        <v>193</v>
      </c>
      <c r="C11" s="69" t="s">
        <v>284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166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277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179203592</v>
      </c>
      <c r="D25" s="80">
        <v>147964647</v>
      </c>
      <c r="E25" s="80">
        <v>101611056</v>
      </c>
      <c r="F25" s="80">
        <v>92113878</v>
      </c>
      <c r="G25" s="80">
        <v>0</v>
      </c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151788523</v>
      </c>
      <c r="D26" s="82">
        <v>127069010</v>
      </c>
      <c r="E26" s="82">
        <v>84198821</v>
      </c>
      <c r="F26" s="82">
        <v>77376859</v>
      </c>
      <c r="G26" s="82">
        <v>0</v>
      </c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23852114</v>
      </c>
      <c r="D27" s="82">
        <v>18320074</v>
      </c>
      <c r="E27" s="82">
        <v>14230292</v>
      </c>
      <c r="F27" s="82">
        <v>10798510</v>
      </c>
      <c r="G27" s="82">
        <v>0</v>
      </c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0.19021246747798443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1.3544506993918419E-2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219</v>
      </c>
      <c r="C87" s="112" t="s">
        <v>278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179203592</v>
      </c>
      <c r="D91" s="103"/>
      <c r="E91" s="104">
        <f>C91</f>
        <v>179203592</v>
      </c>
      <c r="F91" s="104">
        <f>C91</f>
        <v>179203592</v>
      </c>
    </row>
    <row r="92" spans="2:8" x14ac:dyDescent="0.35">
      <c r="B92" s="105" t="s">
        <v>97</v>
      </c>
      <c r="C92" s="102">
        <f>C26</f>
        <v>151788523</v>
      </c>
      <c r="D92" s="106">
        <f>C92/C91</f>
        <v>0.8470171903697109</v>
      </c>
      <c r="E92" s="107">
        <f>E91*D92</f>
        <v>151788523</v>
      </c>
      <c r="F92" s="107">
        <f>F91*D92</f>
        <v>151788523</v>
      </c>
    </row>
    <row r="93" spans="2:8" x14ac:dyDescent="0.35">
      <c r="B93" s="105" t="s">
        <v>218</v>
      </c>
      <c r="C93" s="102">
        <f>C27+C28</f>
        <v>23852114</v>
      </c>
      <c r="D93" s="106">
        <f>C93/C91</f>
        <v>0.13310064677721414</v>
      </c>
      <c r="E93" s="107">
        <f>E91*D93</f>
        <v>23852114</v>
      </c>
      <c r="F93" s="107">
        <f>F91*D93</f>
        <v>23852114</v>
      </c>
    </row>
    <row r="94" spans="2:8" x14ac:dyDescent="0.35">
      <c r="B94" s="105" t="s">
        <v>224</v>
      </c>
      <c r="C94" s="102">
        <f>C29</f>
        <v>0</v>
      </c>
      <c r="D94" s="106">
        <f>C94/C91</f>
        <v>0</v>
      </c>
      <c r="E94" s="108"/>
      <c r="F94" s="107">
        <f>F91*D94</f>
        <v>0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0.19021246747798443</v>
      </c>
      <c r="D98" s="110"/>
      <c r="E98" s="111">
        <f>F98</f>
        <v>0.19021246747798443</v>
      </c>
      <c r="F98" s="111">
        <f>C98</f>
        <v>0.19021246747798443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0175.HK : 吉利汽車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169</v>
      </c>
      <c r="C3" s="316" t="str">
        <f>Inputs!C4</f>
        <v>0175.HK</v>
      </c>
      <c r="D3" s="317"/>
      <c r="E3" s="3"/>
      <c r="F3" s="9" t="s">
        <v>1</v>
      </c>
      <c r="G3" s="10">
        <v>14.94</v>
      </c>
      <c r="H3" s="11" t="s">
        <v>259</v>
      </c>
    </row>
    <row r="4" spans="1:10" ht="15.75" customHeight="1" x14ac:dyDescent="0.35">
      <c r="B4" s="12" t="s">
        <v>170</v>
      </c>
      <c r="C4" s="311" t="str">
        <f>Inputs!C5</f>
        <v>吉利汽車</v>
      </c>
      <c r="D4" s="318"/>
      <c r="E4" s="3"/>
      <c r="F4" s="9" t="s">
        <v>2</v>
      </c>
      <c r="G4" s="321">
        <f>Inputs!C10</f>
        <v>10071700480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45633</v>
      </c>
      <c r="D5" s="320"/>
      <c r="E5" s="16"/>
      <c r="F5" s="12" t="s">
        <v>91</v>
      </c>
      <c r="G5" s="314">
        <f>G3*G4/1000000</f>
        <v>150471.20517119998</v>
      </c>
      <c r="H5" s="314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C0006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HK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1.9882162853074953E-2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0</v>
      </c>
      <c r="F24" s="39" t="s">
        <v>226</v>
      </c>
      <c r="G24" s="43">
        <f>G3/(Fin_Analysis!H86*G7)</f>
        <v>52.930619723669537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0.71691914903967835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1.3544506993918419E-2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2" t="s">
        <v>225</v>
      </c>
      <c r="H28" s="312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2.3707361403111022</v>
      </c>
      <c r="D29" s="54">
        <f>G29*(1+G20)</f>
        <v>4.4885294660678845</v>
      </c>
      <c r="E29" s="3"/>
      <c r="F29" s="55">
        <f>IF(Fin_Analysis!C108="Profit",Fin_Analysis!F100,IF(Fin_Analysis!C108="Dividend",Fin_Analysis!F103,Fin_Analysis!F106))</f>
        <v>2.7891013415424735</v>
      </c>
      <c r="G29" s="313">
        <f>IF(Fin_Analysis!C108="Profit",Fin_Analysis!I100,IF(Fin_Analysis!C108="Dividend",Fin_Analysis!I103,Fin_Analysis!I106))</f>
        <v>3.9030691009285956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3562955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179203592</v>
      </c>
      <c r="D6" s="147">
        <f>IF(Inputs!D25="","",Inputs!D25)</f>
        <v>147964647</v>
      </c>
      <c r="E6" s="147">
        <f>IF(Inputs!E25="","",Inputs!E25)</f>
        <v>101611056</v>
      </c>
      <c r="F6" s="147">
        <f>IF(Inputs!F25="","",Inputs!F25)</f>
        <v>92113878</v>
      </c>
      <c r="G6" s="147">
        <f>IF(Inputs!G25="","",Inputs!G25)</f>
        <v>0</v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0.21112438432675074</v>
      </c>
      <c r="D7" s="148">
        <f t="shared" si="1"/>
        <v>0.45618649017878532</v>
      </c>
      <c r="E7" s="148">
        <f t="shared" si="1"/>
        <v>0.10310257483676888</v>
      </c>
      <c r="F7" s="148" t="e">
        <f t="shared" si="1"/>
        <v>#DIV/0!</v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151788523</v>
      </c>
      <c r="D8" s="149">
        <f>IF(Inputs!D26="","",Inputs!D26)</f>
        <v>127069010</v>
      </c>
      <c r="E8" s="149">
        <f>IF(Inputs!E26="","",Inputs!E26)</f>
        <v>84198821</v>
      </c>
      <c r="F8" s="149">
        <f>IF(Inputs!F26="","",Inputs!F26)</f>
        <v>77376859</v>
      </c>
      <c r="G8" s="149">
        <f>IF(Inputs!G26="","",Inputs!G26)</f>
        <v>0</v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27415069</v>
      </c>
      <c r="D9" s="279">
        <f t="shared" si="2"/>
        <v>20895637</v>
      </c>
      <c r="E9" s="279">
        <f t="shared" si="2"/>
        <v>17412235</v>
      </c>
      <c r="F9" s="279">
        <f t="shared" si="2"/>
        <v>14737019</v>
      </c>
      <c r="G9" s="279">
        <f t="shared" si="2"/>
        <v>0</v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23852114</v>
      </c>
      <c r="D10" s="149">
        <f>IF(Inputs!D27="","",Inputs!D27)</f>
        <v>18320074</v>
      </c>
      <c r="E10" s="149">
        <f>IF(Inputs!E27="","",Inputs!E27)</f>
        <v>14230292</v>
      </c>
      <c r="F10" s="149">
        <f>IF(Inputs!F27="","",Inputs!F27)</f>
        <v>10798510</v>
      </c>
      <c r="G10" s="149">
        <f>IF(Inputs!G27="","",Inputs!G27)</f>
        <v>0</v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 t="str">
        <f>IF(Inputs!C30="","",MAX(Inputs!C30,0)/(1-Fin_Analysis!$I$84))</f>
        <v/>
      </c>
      <c r="D12" s="149" t="str">
        <f>IF(Inputs!D30="","",MAX(Inputs!D30,0)/(1-Fin_Analysis!$I$84))</f>
        <v/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1.9882162853074953E-2</v>
      </c>
      <c r="D13" s="300">
        <f t="shared" si="3"/>
        <v>1.7406610648015131E-2</v>
      </c>
      <c r="E13" s="300">
        <f t="shared" si="3"/>
        <v>3.1314928958124398E-2</v>
      </c>
      <c r="F13" s="300">
        <f t="shared" si="3"/>
        <v>4.2756955689130793E-2</v>
      </c>
      <c r="G13" s="300" t="e">
        <f t="shared" si="3"/>
        <v>#DIV/0!</v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3562955</v>
      </c>
      <c r="D14" s="302">
        <f t="shared" ref="D14:M14" si="4">IF(D6="","",D9-D10-MAX(D11,0)-MAX(D12,0))</f>
        <v>2575563</v>
      </c>
      <c r="E14" s="302">
        <f t="shared" si="4"/>
        <v>3181943</v>
      </c>
      <c r="F14" s="302">
        <f t="shared" si="4"/>
        <v>3938509</v>
      </c>
      <c r="G14" s="302">
        <f t="shared" si="4"/>
        <v>0</v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0.38336938370367957</v>
      </c>
      <c r="D15" s="304">
        <f t="shared" ref="D15:M15" si="5">IF(E14="","",IF(ABS(D14+E14)=ABS(D14)+ABS(E14),IF(D14&lt;0,-1,1)*(D14-E14)/E14,"Turn"))</f>
        <v>-0.19056909567518965</v>
      </c>
      <c r="E15" s="304">
        <f t="shared" si="5"/>
        <v>-0.19209452104844751</v>
      </c>
      <c r="F15" s="304" t="e">
        <f t="shared" si="5"/>
        <v>#DIV/0!</v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 t="str">
        <f>IF(Inputs!C29="","",Inputs!C29)</f>
        <v/>
      </c>
      <c r="D17" s="149" t="str">
        <f>IF(Inputs!D29="","",Inputs!D29)</f>
        <v/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 t="e">
        <f t="shared" si="7"/>
        <v>#DIV/0!</v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3562955</v>
      </c>
      <c r="D22" s="283">
        <f t="shared" ref="D22:M22" si="8">IF(D6="","",D14-MAX(D16,0)-MAX(D17,0)-ABS(MAX(D21,0)-MAX(D19,0)))</f>
        <v>2575563</v>
      </c>
      <c r="E22" s="283">
        <f t="shared" si="8"/>
        <v>3181943</v>
      </c>
      <c r="F22" s="283">
        <f t="shared" si="8"/>
        <v>3938509</v>
      </c>
      <c r="G22" s="283">
        <f t="shared" si="8"/>
        <v>0</v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1.4911622139806216E-2</v>
      </c>
      <c r="D23" s="148">
        <f t="shared" si="9"/>
        <v>1.3054957986011348E-2</v>
      </c>
      <c r="E23" s="148">
        <f t="shared" si="9"/>
        <v>2.34861967185933E-2</v>
      </c>
      <c r="F23" s="148">
        <f t="shared" si="9"/>
        <v>3.2067716766848095E-2</v>
      </c>
      <c r="G23" s="148" t="e">
        <f t="shared" si="9"/>
        <v>#DIV/0!</v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2672216.25</v>
      </c>
      <c r="D24" s="282">
        <f>IF(D6="","",D22*(1-Fin_Analysis!$I$84))</f>
        <v>1931672.25</v>
      </c>
      <c r="E24" s="282">
        <f>IF(E6="","",E22*(1-Fin_Analysis!$I$84))</f>
        <v>2386457.25</v>
      </c>
      <c r="F24" s="282">
        <f>IF(F6="","",F22*(1-Fin_Analysis!$I$84))</f>
        <v>2953881.75</v>
      </c>
      <c r="G24" s="282">
        <f>IF(G6="","",G22*(1-Fin_Analysis!$I$84))</f>
        <v>0</v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0.38336938370367957</v>
      </c>
      <c r="D25" s="152">
        <f t="shared" ref="D25:M25" si="10">IF(E24="","",IF(ABS(D24+E24)=ABS(D24)+ABS(E24),IF(D24&lt;0,-1,1)*(D24-E24)/E24,"Turn"))</f>
        <v>-0.19056909567518965</v>
      </c>
      <c r="E25" s="152">
        <f t="shared" si="10"/>
        <v>-0.19209452104844751</v>
      </c>
      <c r="F25" s="152" t="e">
        <f t="shared" si="10"/>
        <v>#DIV/0!</v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0.8470171903697109</v>
      </c>
      <c r="D40" s="156">
        <f t="shared" si="34"/>
        <v>0.85877952995082674</v>
      </c>
      <c r="E40" s="156">
        <f t="shared" si="34"/>
        <v>0.82863838163437653</v>
      </c>
      <c r="F40" s="156">
        <f t="shared" si="34"/>
        <v>0.84001304342001537</v>
      </c>
      <c r="G40" s="156" t="e">
        <f t="shared" si="34"/>
        <v>#DIV/0!</v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0.13310064677721414</v>
      </c>
      <c r="D41" s="151">
        <f t="shared" si="35"/>
        <v>0.12381385940115817</v>
      </c>
      <c r="E41" s="151">
        <f t="shared" si="35"/>
        <v>0.14004668940749912</v>
      </c>
      <c r="F41" s="151">
        <f t="shared" si="35"/>
        <v>0.11723000089085382</v>
      </c>
      <c r="G41" s="151" t="e">
        <f t="shared" si="35"/>
        <v>#DIV/0!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e">
        <f t="shared" si="36"/>
        <v>#DIV/0!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0</v>
      </c>
      <c r="D43" s="151">
        <f t="shared" si="37"/>
        <v>0</v>
      </c>
      <c r="E43" s="151">
        <f t="shared" si="37"/>
        <v>0</v>
      </c>
      <c r="F43" s="151">
        <f t="shared" si="37"/>
        <v>0</v>
      </c>
      <c r="G43" s="151" t="e">
        <f t="shared" si="37"/>
        <v>#DIV/0!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 t="e">
        <f t="shared" si="38"/>
        <v>#DIV/0!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 t="e">
        <f t="shared" si="39"/>
        <v>#DIV/0!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1.9882162853074953E-2</v>
      </c>
      <c r="D46" s="289">
        <f t="shared" si="40"/>
        <v>1.7406610648015131E-2</v>
      </c>
      <c r="E46" s="289">
        <f t="shared" si="40"/>
        <v>3.1314928958124398E-2</v>
      </c>
      <c r="F46" s="289">
        <f t="shared" si="40"/>
        <v>4.2756955689130793E-2</v>
      </c>
      <c r="G46" s="289" t="e">
        <f t="shared" si="40"/>
        <v>#DIV/0!</v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e">
        <f t="shared" si="41"/>
        <v>#VALUE!</v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e">
        <f t="shared" si="44"/>
        <v>#VALUE!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 t="str">
        <f t="shared" ref="C55:M55" si="47">IF(C22="","",IF(MAX(C17,0)&lt;=0,"-",C17/C22))</f>
        <v>-</v>
      </c>
      <c r="D55" s="151" t="str">
        <f t="shared" si="47"/>
        <v>-</v>
      </c>
      <c r="E55" s="151" t="str">
        <f t="shared" si="47"/>
        <v>-</v>
      </c>
      <c r="F55" s="151" t="str">
        <f t="shared" si="47"/>
        <v>-</v>
      </c>
      <c r="G55" s="151" t="str">
        <f t="shared" si="47"/>
        <v>-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e">
        <f t="shared" si="49"/>
        <v>#VALUE!</v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e">
        <f t="shared" si="50"/>
        <v>#VALUE!</v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179203592</v>
      </c>
      <c r="D74" s="103"/>
      <c r="E74" s="262">
        <f>Inputs!E91</f>
        <v>179203592</v>
      </c>
      <c r="F74" s="103"/>
      <c r="H74" s="262">
        <f>Inputs!F91</f>
        <v>179203592</v>
      </c>
      <c r="I74" s="103"/>
      <c r="K74" s="75"/>
    </row>
    <row r="75" spans="1:11" ht="15" customHeight="1" x14ac:dyDescent="0.35">
      <c r="B75" s="105" t="s">
        <v>97</v>
      </c>
      <c r="C75" s="102">
        <f>Data!C8</f>
        <v>151788523</v>
      </c>
      <c r="D75" s="106">
        <f>C75/$C$74</f>
        <v>0.8470171903697109</v>
      </c>
      <c r="E75" s="262">
        <f>Inputs!E92</f>
        <v>151788523</v>
      </c>
      <c r="F75" s="217">
        <f>E75/E74</f>
        <v>0.8470171903697109</v>
      </c>
      <c r="H75" s="262">
        <f>Inputs!F92</f>
        <v>151788523</v>
      </c>
      <c r="I75" s="217">
        <f>H75/$H$74</f>
        <v>0.8470171903697109</v>
      </c>
      <c r="K75" s="75"/>
    </row>
    <row r="76" spans="1:11" ht="15" customHeight="1" x14ac:dyDescent="0.35">
      <c r="B76" s="12" t="s">
        <v>87</v>
      </c>
      <c r="C76" s="150">
        <f>C74-C75</f>
        <v>27415069</v>
      </c>
      <c r="D76" s="218"/>
      <c r="E76" s="219">
        <f>E74-E75</f>
        <v>27415069</v>
      </c>
      <c r="F76" s="218"/>
      <c r="H76" s="219">
        <f>H74-H75</f>
        <v>27415069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23852114</v>
      </c>
      <c r="D77" s="106">
        <f>C77/$C$74</f>
        <v>0.13310064677721414</v>
      </c>
      <c r="E77" s="262">
        <f>Inputs!E93</f>
        <v>23852114</v>
      </c>
      <c r="F77" s="217">
        <f>E77/E74</f>
        <v>0.13310064677721414</v>
      </c>
      <c r="H77" s="262">
        <f>Inputs!F93</f>
        <v>23852114</v>
      </c>
      <c r="I77" s="217">
        <f>H77/$H$74</f>
        <v>0.13310064677721414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3562955</v>
      </c>
      <c r="D79" s="223">
        <f>C79/C74</f>
        <v>1.9882162853074953E-2</v>
      </c>
      <c r="E79" s="224">
        <f>E76-E77-E78</f>
        <v>3562955</v>
      </c>
      <c r="F79" s="223">
        <f>E79/E74</f>
        <v>1.9882162853074953E-2</v>
      </c>
      <c r="G79" s="225"/>
      <c r="H79" s="224">
        <f>H76-H77-H78</f>
        <v>3562955</v>
      </c>
      <c r="I79" s="223">
        <f>H79/H74</f>
        <v>1.9882162853074953E-2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0</v>
      </c>
      <c r="D81" s="106">
        <f>C81/$C$74</f>
        <v>0</v>
      </c>
      <c r="E81" s="220">
        <f>E74*F81</f>
        <v>0</v>
      </c>
      <c r="F81" s="217">
        <f>I81</f>
        <v>0</v>
      </c>
      <c r="H81" s="262">
        <f>Inputs!F94</f>
        <v>0</v>
      </c>
      <c r="I81" s="217">
        <f>H81/$H$74</f>
        <v>0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3562955</v>
      </c>
      <c r="D83" s="229">
        <f>C83/$C$74</f>
        <v>1.9882162853074953E-2</v>
      </c>
      <c r="E83" s="230">
        <f>E79-E81-E82-E80</f>
        <v>3562955</v>
      </c>
      <c r="F83" s="229">
        <f>E83/E74</f>
        <v>1.9882162853074953E-2</v>
      </c>
      <c r="H83" s="230">
        <f>H79-H81-H82-H80</f>
        <v>3562955</v>
      </c>
      <c r="I83" s="229">
        <f>H83/$H$74</f>
        <v>1.9882162853074953E-2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2672216.25</v>
      </c>
      <c r="D85" s="223">
        <f>C85/$C$74</f>
        <v>1.4911622139806216E-2</v>
      </c>
      <c r="E85" s="235">
        <f>E83*(1-F84)</f>
        <v>2672216.25</v>
      </c>
      <c r="F85" s="223">
        <f>E85/E74</f>
        <v>1.4911622139806216E-2</v>
      </c>
      <c r="G85" s="225"/>
      <c r="H85" s="235">
        <f>H83*(1-I84)</f>
        <v>2672216.25</v>
      </c>
      <c r="I85" s="223">
        <f>H85/$H$74</f>
        <v>1.4911622139806216E-2</v>
      </c>
      <c r="K85" s="75"/>
    </row>
    <row r="86" spans="1:11" ht="15" customHeight="1" x14ac:dyDescent="0.35">
      <c r="B86" s="3" t="s">
        <v>145</v>
      </c>
      <c r="C86" s="236">
        <f>C85*Data!C4/Common_Shares</f>
        <v>0.26531927307671482</v>
      </c>
      <c r="D86" s="103"/>
      <c r="E86" s="237">
        <f>E85*Data!C4/Common_Shares</f>
        <v>0.26531927307671482</v>
      </c>
      <c r="F86" s="103"/>
      <c r="H86" s="237">
        <f>H85*Data!C4/Common_Shares</f>
        <v>0.26531927307671482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1.8892656183143453E-2</v>
      </c>
      <c r="D87" s="103"/>
      <c r="E87" s="239">
        <f>E86*Exchange_Rate/Dashboard!G3</f>
        <v>1.8892656183143453E-2</v>
      </c>
      <c r="F87" s="103"/>
      <c r="H87" s="239">
        <f>H86*Exchange_Rate/Dashboard!G3</f>
        <v>1.8892656183143453E-2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0.19021246747798443</v>
      </c>
      <c r="D88" s="241">
        <f>C88/C86</f>
        <v>0.71691914903967835</v>
      </c>
      <c r="E88" s="261">
        <f>Inputs!E98</f>
        <v>0.19021246747798443</v>
      </c>
      <c r="F88" s="241">
        <f>E88/E86</f>
        <v>0.71691914903967835</v>
      </c>
      <c r="H88" s="261">
        <f>Inputs!F98</f>
        <v>0.19021246747798443</v>
      </c>
      <c r="I88" s="241">
        <f>H88/H86</f>
        <v>0.71691914903967835</v>
      </c>
      <c r="K88" s="75"/>
    </row>
    <row r="89" spans="1:11" ht="15" customHeight="1" x14ac:dyDescent="0.35">
      <c r="B89" s="3" t="s">
        <v>195</v>
      </c>
      <c r="C89" s="238">
        <f>C88*Exchange_Rate/Dashboard!G3</f>
        <v>1.3544506993918419E-2</v>
      </c>
      <c r="D89" s="103"/>
      <c r="E89" s="238">
        <f>E88*Exchange_Rate/Dashboard!G3</f>
        <v>1.3544506993918419E-2</v>
      </c>
      <c r="F89" s="103"/>
      <c r="H89" s="238">
        <f>H88*Exchange_Rate/Dashboard!G3</f>
        <v>1.3544506993918419E-2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HK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7.5250000000000011E-2</v>
      </c>
      <c r="D93" s="259">
        <f>Dashboard!H20</f>
        <v>5</v>
      </c>
      <c r="E93" s="3" t="s">
        <v>184</v>
      </c>
      <c r="F93" s="243">
        <f>FV(E87,D93,0,-(E86/(C93-D94)))*Exchange_Rate</f>
        <v>5.6098790299773444</v>
      </c>
      <c r="H93" s="3" t="s">
        <v>184</v>
      </c>
      <c r="I93" s="243">
        <f>FV(H87,D93,0,-(H86/(C93-D94)))*Exchange_Rate</f>
        <v>5.6098790299773444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3.9173794281894745</v>
      </c>
      <c r="H94" s="3" t="s">
        <v>185</v>
      </c>
      <c r="I94" s="243">
        <f>FV(H89,D93,0,-(H88/(C93-D94)))*Exchange_Rate</f>
        <v>3.9173794281894745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28090993.320381973</v>
      </c>
      <c r="D97" s="250"/>
      <c r="E97" s="251">
        <f>PV(C94,D93,0,-F93)</f>
        <v>2.7891013415424735</v>
      </c>
      <c r="F97" s="250"/>
      <c r="H97" s="251">
        <f>PV(C94,D93,0,-I93)</f>
        <v>2.7891013415424735</v>
      </c>
      <c r="I97" s="251">
        <f>PV(C93,D93,0,-I93)</f>
        <v>3.9030691009285956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2.3707361403111022</v>
      </c>
      <c r="E100" s="257">
        <f>MAX(E97+H98+E99,0)</f>
        <v>2.7891013415424735</v>
      </c>
      <c r="F100" s="257">
        <f>(E100+H100)/2</f>
        <v>2.7891013415424735</v>
      </c>
      <c r="H100" s="257">
        <f>MAX(H97+H98+H99,0)</f>
        <v>2.7891013415424735</v>
      </c>
      <c r="I100" s="257">
        <f>MAX(I97+H98+H99,0)</f>
        <v>3.9030691009285956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1.6554854277771358</v>
      </c>
      <c r="E103" s="251">
        <f>PV(C94,D93,0,-F94)</f>
        <v>1.9476299150319245</v>
      </c>
      <c r="F103" s="257">
        <f>(E103+H103)/2</f>
        <v>1.9476299150319245</v>
      </c>
      <c r="H103" s="251">
        <f>PV(C94,D93,0,-I94)</f>
        <v>1.9476299150319245</v>
      </c>
      <c r="I103" s="257">
        <f>PV(C93,D93,0,-I94)</f>
        <v>2.7255137804355503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2.0131107840441191</v>
      </c>
      <c r="E106" s="251">
        <f>(E100+E103)/2</f>
        <v>2.368365628287199</v>
      </c>
      <c r="F106" s="257">
        <f>(F100+F103)/2</f>
        <v>2.368365628287199</v>
      </c>
      <c r="H106" s="251">
        <f>(H100+H103)/2</f>
        <v>2.368365628287199</v>
      </c>
      <c r="I106" s="251">
        <f>(I100+I103)/2</f>
        <v>3.3142914406820729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45633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