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4BC98A-1CBF-4B31-8B8C-C9BCAAB97D7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E95" i="4" l="1"/>
  <c r="E92" i="4"/>
  <c r="F97" i="4"/>
  <c r="F92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<sst xmlns="http://schemas.openxmlformats.org/spreadsheetml/2006/main" count="403" uniqueCount="288">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</sst>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176008471024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94009</v>
      </c>
      <c r="D25" s="80">
        <v>92170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65301</v>
      </c>
      <c r="D26" s="82">
        <v>65065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14206</v>
      </c>
      <c r="D27" s="82">
        <v>13793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2827</v>
      </c>
      <c r="D29" s="82">
        <v>3003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0.03739+0.0109</f>
        <v>4.829E-2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4.5063733922807797E-2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94009</v>
      </c>
      <c r="D91" s="103"/>
      <c r="E91" s="104">
        <f>C91</f>
        <v>94009</v>
      </c>
      <c r="F91" s="104">
        <f>C91</f>
        <v>94009</v>
      </c>
    </row>
    <row r="92" spans="2:8" x14ac:dyDescent="0.35">
      <c r="B92" s="105" t="s">
        <v>97</v>
      </c>
      <c r="C92" s="102">
        <f>C26</f>
        <v>65301</v>
      </c>
      <c r="D92" s="106">
        <f>C92/C91</f>
        <v>0.69462498271442097</v>
      </c>
      <c r="E92" s="107">
        <f>E91*D92</f>
        <v>65301</v>
      </c>
      <c r="F92" s="107">
        <f>F91*D92</f>
        <v>65301</v>
      </c>
    </row>
    <row r="93" spans="2:8" x14ac:dyDescent="0.35">
      <c r="B93" s="105" t="s">
        <v>218</v>
      </c>
      <c r="C93" s="102">
        <f>C27+C28</f>
        <v>14206</v>
      </c>
      <c r="D93" s="106">
        <f>C93/C91</f>
        <v>0.15111319129019563</v>
      </c>
      <c r="E93" s="107">
        <f>E91*D93</f>
        <v>14206</v>
      </c>
      <c r="F93" s="107">
        <f>F91*D93</f>
        <v>14206</v>
      </c>
    </row>
    <row r="94" spans="2:8" x14ac:dyDescent="0.35">
      <c r="B94" s="105" t="s">
        <v>224</v>
      </c>
      <c r="C94" s="102">
        <f>C29</f>
        <v>2827</v>
      </c>
      <c r="D94" s="106">
        <f>C94/C91</f>
        <v>3.0071588890425386E-2</v>
      </c>
      <c r="E94" s="108"/>
      <c r="F94" s="107">
        <f>F91*D94</f>
        <v>2827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4.829E-2</v>
      </c>
      <c r="D98" s="110"/>
      <c r="E98" s="111">
        <f>F98</f>
        <v>4.829E-2</v>
      </c>
      <c r="F98" s="111">
        <f>C98</f>
        <v>4.829E-2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0788.HK</v>
      </c>
      <c r="D3" s="317"/>
      <c r="E3" s="3"/>
      <c r="F3" s="9" t="s">
        <v>1</v>
      </c>
      <c r="G3" s="10">
        <v>1.1399999999999999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中国铁塔</v>
      </c>
      <c r="D4" s="318"/>
      <c r="E4" s="3"/>
      <c r="F4" s="9" t="s">
        <v>2</v>
      </c>
      <c r="G4" s="321">
        <f>Inputs!C10</f>
        <v>176008471024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4">
        <f>G3*G4/1000000</f>
        <v>200649.65696735997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3.0071588890425386E-2</v>
      </c>
      <c r="F24" s="39" t="s">
        <v>226</v>
      </c>
      <c r="G24" s="43">
        <f>G3/(Fin_Analysis!H86*G7)</f>
        <v>21.539987606021377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0.97067227017832514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4.5063733922807797E-2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0.46384712672807532</v>
      </c>
      <c r="D29" s="54">
        <f>G29*(1+G20)</f>
        <v>0.85707559931123045</v>
      </c>
      <c r="E29" s="3"/>
      <c r="F29" s="55">
        <f>IF(Fin_Analysis!C108="Profit",Fin_Analysis!F100,IF(Fin_Analysis!C108="Dividend",Fin_Analysis!F103,Fin_Analysis!F106))</f>
        <v>0.54570250203302983</v>
      </c>
      <c r="G29" s="313">
        <f>IF(Fin_Analysis!C108="Profit",Fin_Analysis!I100,IF(Fin_Analysis!C108="Dividend",Fin_Analysis!I103,Fin_Analysis!I106))</f>
        <v>0.74528312983585265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14502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94009</v>
      </c>
      <c r="D6" s="147">
        <f>IF(Inputs!D25="","",Inputs!D25)</f>
        <v>92170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1.995226212433554E-2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65301</v>
      </c>
      <c r="D8" s="149">
        <f>IF(Inputs!D26="","",Inputs!D26)</f>
        <v>65065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28708</v>
      </c>
      <c r="D9" s="279">
        <f t="shared" si="2"/>
        <v>27105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14206</v>
      </c>
      <c r="D10" s="149">
        <f>IF(Inputs!D27="","",Inputs!D27)</f>
        <v>13793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0.15426182599538343</v>
      </c>
      <c r="D13" s="300">
        <f t="shared" si="3"/>
        <v>0.14442877291960507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14502</v>
      </c>
      <c r="D14" s="302">
        <f t="shared" ref="D14:M14" si="4">IF(D6="","",D9-D10-MAX(D11,0)-MAX(D12,0))</f>
        <v>13312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8.9393028846153841E-2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2827</v>
      </c>
      <c r="D17" s="149">
        <f>IF(Inputs!D29="","",Inputs!D29)</f>
        <v>3003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11675</v>
      </c>
      <c r="D22" s="283">
        <f t="shared" ref="D22:M22" si="8">IF(D6="","",D14-MAX(D16,0)-MAX(D17,0)-ABS(MAX(D21,0)-MAX(D19,0)))</f>
        <v>10309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9.3142677828718531E-2</v>
      </c>
      <c r="D23" s="148">
        <f t="shared" si="9"/>
        <v>8.3885754583921016E-2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8756.25</v>
      </c>
      <c r="D24" s="282">
        <f>IF(D6="","",D22*(1-Fin_Analysis!$I$84))</f>
        <v>7731.75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0.13250557765059656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0.69462498271442097</v>
      </c>
      <c r="D40" s="156">
        <f t="shared" si="34"/>
        <v>0.70592383638928069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0.12419023710495804</v>
      </c>
      <c r="D46" s="289">
        <f t="shared" si="40"/>
        <v>0.11184767277856135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94009</v>
      </c>
      <c r="D74" s="103"/>
      <c r="E74" s="262">
        <f>Inputs!E91</f>
        <v>94009</v>
      </c>
      <c r="F74" s="103"/>
      <c r="H74" s="262">
        <f>Inputs!F91</f>
        <v>94009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65301</v>
      </c>
      <c r="D75" s="106">
        <f>C75/$C$74</f>
        <v>0.69462498271442097</v>
      </c>
      <c r="E75" s="262">
        <f>Inputs!E92</f>
        <v>65301</v>
      </c>
      <c r="F75" s="217">
        <f>E75/E74</f>
        <v>0.69462498271442097</v>
      </c>
      <c r="H75" s="262">
        <f>Inputs!F92</f>
        <v>65301</v>
      </c>
      <c r="I75" s="217">
        <f>H75/$H$74</f>
        <v>0.69462498271442097</v>
      </c>
      <c r="K75" s="75"/>
    </row>
    <row r="76" spans="1:11" ht="15" customHeight="1" x14ac:dyDescent="0.35">
      <c r="B76" s="12" t="s">
        <v>87</v>
      </c>
      <c r="C76" s="150">
        <f>C74-C75</f>
        <v>28708</v>
      </c>
      <c r="D76" s="218"/>
      <c r="E76" s="219">
        <f>E74-E75</f>
        <v>28708</v>
      </c>
      <c r="F76" s="218"/>
      <c r="H76" s="219">
        <f>H74-H75</f>
        <v>28708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14206</v>
      </c>
      <c r="D77" s="106">
        <f>C77/$C$74</f>
        <v>0.15111319129019563</v>
      </c>
      <c r="E77" s="262">
        <f>Inputs!E93</f>
        <v>14206</v>
      </c>
      <c r="F77" s="217">
        <f>E77/E74</f>
        <v>0.15111319129019563</v>
      </c>
      <c r="H77" s="262">
        <f>Inputs!F93</f>
        <v>14206</v>
      </c>
      <c r="I77" s="217">
        <f>H77/$H$74</f>
        <v>0.15111319129019563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14502</v>
      </c>
      <c r="D79" s="223">
        <f>C79/C74</f>
        <v>0.15426182599538343</v>
      </c>
      <c r="E79" s="224">
        <f>E76-E77-E78</f>
        <v>14502</v>
      </c>
      <c r="F79" s="223">
        <f>E79/E74</f>
        <v>0.15426182599538343</v>
      </c>
      <c r="G79" s="225"/>
      <c r="H79" s="224">
        <f>H76-H77-H78</f>
        <v>14502</v>
      </c>
      <c r="I79" s="223">
        <f>H79/H74</f>
        <v>0.15426182599538343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2827</v>
      </c>
      <c r="D81" s="106">
        <f>C81/$C$74</f>
        <v>3.0071588890425386E-2</v>
      </c>
      <c r="E81" s="220">
        <f>E74*F81</f>
        <v>2827</v>
      </c>
      <c r="F81" s="217">
        <f>I81</f>
        <v>3.0071588890425386E-2</v>
      </c>
      <c r="H81" s="262">
        <f>Inputs!F94</f>
        <v>2827</v>
      </c>
      <c r="I81" s="217">
        <f>H81/$H$74</f>
        <v>3.0071588890425386E-2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11675</v>
      </c>
      <c r="D83" s="229">
        <f>C83/$C$74</f>
        <v>0.12419023710495804</v>
      </c>
      <c r="E83" s="230">
        <f>E79-E81-E82-E80</f>
        <v>11675</v>
      </c>
      <c r="F83" s="229">
        <f>E83/E74</f>
        <v>0.12419023710495804</v>
      </c>
      <c r="H83" s="230">
        <f>H79-H81-H82-H80</f>
        <v>11675</v>
      </c>
      <c r="I83" s="229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8756.25</v>
      </c>
      <c r="D85" s="223">
        <f>C85/$C$74</f>
        <v>9.3142677828718531E-2</v>
      </c>
      <c r="E85" s="235">
        <f>E83*(1-F84)</f>
        <v>8756.25</v>
      </c>
      <c r="F85" s="223">
        <f>E85/E74</f>
        <v>9.3142677828718531E-2</v>
      </c>
      <c r="G85" s="225"/>
      <c r="H85" s="235">
        <f>H83*(1-I84)</f>
        <v>8756.25</v>
      </c>
      <c r="I85" s="223">
        <f>H85/$H$74</f>
        <v>9.3142677828718531E-2</v>
      </c>
      <c r="K85" s="75"/>
    </row>
    <row r="86" spans="1:11" ht="15" customHeight="1" x14ac:dyDescent="0.35">
      <c r="B86" s="3" t="s">
        <v>145</v>
      </c>
      <c r="C86" s="236">
        <f>C85*Data!C4/Common_Shares</f>
        <v>4.9749025993220654E-2</v>
      </c>
      <c r="D86" s="103"/>
      <c r="E86" s="237">
        <f>E85*Data!C4/Common_Shares</f>
        <v>4.9749025993220654E-2</v>
      </c>
      <c r="F86" s="103"/>
      <c r="H86" s="237">
        <f>H85*Data!C4/Common_Shares</f>
        <v>4.9749025993220654E-2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4.6425282051715561E-2</v>
      </c>
      <c r="D87" s="103"/>
      <c r="E87" s="239">
        <f>E86*Exchange_Rate/Dashboard!G3</f>
        <v>4.6425282051715561E-2</v>
      </c>
      <c r="F87" s="103"/>
      <c r="H87" s="239">
        <f>H86*Exchange_Rate/Dashboard!G3</f>
        <v>4.6425282051715561E-2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4.829E-2</v>
      </c>
      <c r="D88" s="241">
        <f>C88/C86</f>
        <v>0.97067227017832514</v>
      </c>
      <c r="E88" s="261">
        <f>Inputs!E98</f>
        <v>4.829E-2</v>
      </c>
      <c r="F88" s="241">
        <f>E88/E86</f>
        <v>0.97067227017832514</v>
      </c>
      <c r="H88" s="261">
        <f>Inputs!F98</f>
        <v>4.829E-2</v>
      </c>
      <c r="I88" s="241">
        <f>H88/H86</f>
        <v>0.97067227017832514</v>
      </c>
      <c r="K88" s="75"/>
    </row>
    <row r="89" spans="1:11" ht="15" customHeight="1" x14ac:dyDescent="0.35">
      <c r="B89" s="3" t="s">
        <v>195</v>
      </c>
      <c r="C89" s="238">
        <f>C88*Exchange_Rate/Dashboard!G3</f>
        <v>4.5063733922807797E-2</v>
      </c>
      <c r="D89" s="103"/>
      <c r="E89" s="238">
        <f>E88*Exchange_Rate/Dashboard!G3</f>
        <v>4.5063733922807797E-2</v>
      </c>
      <c r="F89" s="103"/>
      <c r="H89" s="238">
        <f>H88*Exchange_Rate/Dashboard!G3</f>
        <v>4.5063733922807797E-2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1.0976026497008675</v>
      </c>
      <c r="H93" s="3" t="s">
        <v>184</v>
      </c>
      <c r="I93" s="243">
        <f>FV(H87,D93,0,-(H86/(C93-D94)))*Exchange_Rate</f>
        <v>1.0976026497008675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1.058499203697933</v>
      </c>
      <c r="H94" s="3" t="s">
        <v>185</v>
      </c>
      <c r="I94" s="243">
        <f>FV(H89,D93,0,-(H88/(C93-D94)))*Exchange_Rate</f>
        <v>1.058499203697933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96048.263016804834</v>
      </c>
      <c r="D97" s="250"/>
      <c r="E97" s="251">
        <f>PV(C94,D93,0,-F93)</f>
        <v>0.54570250203302983</v>
      </c>
      <c r="F97" s="250"/>
      <c r="H97" s="251">
        <f>PV(C94,D93,0,-I93)</f>
        <v>0.54570250203302983</v>
      </c>
      <c r="I97" s="251">
        <f>PV(C93,D93,0,-I93)</f>
        <v>0.74528312983585265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0.46384712672807532</v>
      </c>
      <c r="E100" s="257">
        <f>MAX(E97+H98+E99,0)</f>
        <v>0.54570250203302983</v>
      </c>
      <c r="F100" s="257">
        <f>(E100+H100)/2</f>
        <v>0.54570250203302983</v>
      </c>
      <c r="H100" s="257">
        <f>MAX(H97+H98+H99,0)</f>
        <v>0.54570250203302983</v>
      </c>
      <c r="I100" s="257">
        <f>MAX(I97+H98+H99,0)</f>
        <v>0.74528312983585265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0.44732200164882119</v>
      </c>
      <c r="E103" s="251">
        <f>PV(C94,D93,0,-F94)</f>
        <v>0.52626117841037789</v>
      </c>
      <c r="F103" s="257">
        <f>(E103+H103)/2</f>
        <v>0.52626117841037789</v>
      </c>
      <c r="H103" s="251">
        <f>PV(C94,D93,0,-I94)</f>
        <v>0.52626117841037789</v>
      </c>
      <c r="I103" s="257">
        <f>PV(C93,D93,0,-I94)</f>
        <v>0.71873150058060564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0.45558456418844828</v>
      </c>
      <c r="E106" s="251">
        <f>(E100+E103)/2</f>
        <v>0.53598184022170381</v>
      </c>
      <c r="F106" s="257">
        <f>(F100+F103)/2</f>
        <v>0.53598184022170381</v>
      </c>
      <c r="H106" s="251">
        <f>(H100+H103)/2</f>
        <v>0.53598184022170381</v>
      </c>
      <c r="I106" s="251">
        <f>(I100+I103)/2</f>
        <v>0.73200731520822915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