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D7A43D9-742C-4411-9470-5E3D93C8C21A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G2" i="1"/>
  <c r="F95" i="4" l="1"/>
  <c r="E92" i="4"/>
  <c r="F97" i="4"/>
  <c r="F92" i="4"/>
  <c r="E95" i="4"/>
  <c r="D53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<sst xmlns="http://schemas.openxmlformats.org/spreadsheetml/2006/main" count="403" uniqueCount="289">
  <si>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</si>
  <si>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</si>
  <si>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</si>
  <si>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</si>
  <si>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</si>
  <si>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</si>
  <si>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</si>
  <si>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</si>
  <si>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</si>
  <si>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</si>
  <si>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</si>
  <si>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</si>
  <si>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</si>
  <si>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</si>
  <si>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</si>
  <si>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</si>
  <si>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</si>
  <si>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</si>
  <si>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</si>
  <si>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</si>
  <si>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</si>
  <si>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</si>
  <si>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</si>
  <si>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</si>
  <si>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</si>
  <si>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</si>
  <si>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</si>
  <si>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</si>
  <si>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</si>
  <si>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</si>
  <si>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</si>
  <si>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</si>
  <si>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</si>
  <si>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</si>
  <si>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</si>
  <si>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</si>
  <si>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</si>
  <si>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</si>
  <si>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</si>
  <si>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</si>
  <si>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</si>
  <si>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</si>
  <si>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</si>
  <si>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</si>
  <si>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</si>
  <si>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</si>
  <si>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</si>
  <si>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</si>
  <si>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</si>
  <si>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</si>
  <si>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</si>
  <si>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</si>
  <si>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</si>
  <si>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</si>
  <si>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</si>
  <si>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</si>
  <si>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</si>
  <si>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</si>
  <si>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</si>
  <si>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</si>
  <si>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</si>
  <si>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</si>
  <si>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</si>
  <si>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</si>
  <si>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</si>
  <si>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</si>
  <si>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</si>
  <si>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</si>
  <si>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</si>
  <si>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</si>
  <si>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</si>
  <si>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</si>
  <si>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</si>
  <si>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</si>
  <si>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</si>
  <si>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</si>
  <si>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</si>
  <si>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</si>
  <si>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</si>
  <si>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</si>
  <si>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</si>
  <si>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</si>
  <si>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</si>
  <si>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</si>
  <si>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</si>
  <si>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</si>
  <si>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</si>
  <si>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</si>
  <si>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</si>
  <si>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</si>
  <si>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</si>
  <si>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</si>
  <si>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</si>
  <si>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</si>
  <si>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</si>
  <si>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</si>
  <si>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</si>
  <si>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</si>
  <si>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</si>
  <si>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</si>
  <si>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</si>
  <si>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</si>
  <si>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</si>
  <si>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</si>
  <si>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</si>
  <si>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</si>
  <si>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</si>
  <si>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</si>
  <si>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</si>
  <si>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</si>
  <si>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</si>
  <si>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</si>
  <si>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</si>
  <si>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</si>
  <si>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</si>
  <si>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</si>
  <si>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</si>
  <si>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</si>
  <si>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</si>
  <si>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</si>
  <si>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</si>
  <si>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</si>
  <si>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</si>
  <si>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</si>
  <si>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</si>
  <si>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</si>
  <si>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</si>
  <si>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</si>
  <si>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</si>
  <si>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</si>
  <si>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</si>
  <si>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</si>
  <si>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</si>
  <si>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</si>
  <si>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</si>
  <si>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</si>
  <si>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</si>
  <si>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</si>
  <si>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</si>
  <si>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</si>
  <si>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</si>
  <si>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</si>
  <si>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</si>
  <si>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</si>
  <si>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</si>
  <si>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</si>
  <si>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</si>
  <si>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</si>
  <si>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</si>
  <si>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</si>
  <si>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</si>
  <si>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</si>
  <si>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</si>
  <si>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</si>
  <si>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</si>
  <si>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</si>
  <si>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</si>
  <si>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</si>
  <si>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</si>
  <si>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</si>
  <si>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</si>
  <si>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</si>
  <si>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</si>
  <si>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</si>
  <si>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</si>
  <si>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</si>
  <si>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</si>
  <si>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</si>
  <si>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</si>
  <si>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</si>
  <si>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</si>
  <si>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</si>
  <si>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</si>
  <si>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</si>
  <si>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</si>
  <si>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</si>
  <si>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</si>
  <si>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</si>
  <si>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</si>
  <si>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</si>
  <si>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</si>
  <si>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</si>
  <si>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</si>
  <si>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</si>
  <si>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</si>
  <si>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</si>
  <si>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</si>
  <si>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</si>
  <si>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</si>
  <si>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</si>
  <si>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</si>
  <si>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</si>
  <si>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</si>
  <si>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</si>
  <si>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</si>
  <si>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</si>
  <si>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</si>
  <si>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</si>
  <si>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</si>
  <si>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</si>
  <si>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</si>
  <si>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</si>
  <si>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</si>
  <si>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</si>
  <si>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</si>
  <si>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</si>
  <si>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</si>
  <si>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</si>
  <si>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</si>
  <si>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</si>
  <si>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</si>
  <si>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</si>
  <si>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</si>
  <si>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</si>
  <si>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</si>
  <si>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</si>
  <si>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</si>
  <si>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</si>
  <si>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</si>
  <si>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</si>
  <si>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</si>
  <si>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</si>
  <si>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</si>
  <si>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</si>
  <si>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</si>
  <si>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</si>
  <si>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</si>
  <si>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</si>
  <si>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</si>
  <si>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</si>
  <si>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</si>
  <si>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</si>
  <si>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</si>
  <si>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</si>
  <si>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</si>
  <si>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</si>
  <si>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</si>
  <si>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</si>
  <si>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</si>
  <si>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</si>
  <si>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</si>
  <si>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</si>
  <si>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</si>
  <si>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</si>
  <si>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</si>
  <si>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</si>
  <si>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</si>
  <si>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</si>
  <si>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</si>
  <si>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</si>
  <si>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</si>
  <si>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</si>
  <si>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</si>
  <si>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</si>
  <si>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</si>
  <si>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</si>
  <si>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</si>
  <si>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</si>
  <si>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</si>
  <si>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</si>
  <si>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</si>
  <si>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</si>
  <si>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</si>
  <si>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</si>
  <si>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</si>
  <si>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</si>
  <si>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</si>
  <si>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</si>
  <si>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</si>
  <si>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</si>
  <si>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</si>
  <si>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</si>
  <si>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</si>
  <si>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</si>
  <si>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</si>
  <si>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</si>
  <si>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</si>
  <si>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</si>
  <si>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Reinvest Nonop @</t>
    <phoneticPr fontId="3" type="noConversion"/>
  </si>
  <si>
    <t>PlaceHolder_5</t>
    <phoneticPr fontId="3" type="noConversion"/>
  </si>
  <si>
    <t>0811.HK</t>
  </si>
  <si>
    <t>新华文轩</t>
  </si>
  <si>
    <t xml:space="preserve">Superior Cycl. </t>
  </si>
  <si>
    <t>C0012</t>
  </si>
  <si>
    <t>CNY</t>
  </si>
  <si>
    <t>agree</t>
  </si>
  <si>
    <t>Strongly 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</si>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</sst>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280</v>
      </c>
      <c r="D4" s="66"/>
    </row>
    <row r="5" spans="1:5" x14ac:dyDescent="0.35">
      <c r="B5" s="46" t="s">
        <v>170</v>
      </c>
      <c r="C5" s="67" t="s">
        <v>281</v>
      </c>
    </row>
    <row r="6" spans="1:5" x14ac:dyDescent="0.35">
      <c r="B6" s="46" t="s">
        <v>271</v>
      </c>
      <c r="C6" s="68">
        <v>45604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282</v>
      </c>
    </row>
    <row r="9" spans="1:5" x14ac:dyDescent="0.35">
      <c r="B9" s="39" t="s">
        <v>191</v>
      </c>
      <c r="C9" s="124" t="s">
        <v>283</v>
      </c>
    </row>
    <row r="10" spans="1:5" x14ac:dyDescent="0.35">
      <c r="B10" s="39" t="s">
        <v>192</v>
      </c>
      <c r="C10" s="70">
        <v>1233841000</v>
      </c>
    </row>
    <row r="11" spans="1:5" x14ac:dyDescent="0.35">
      <c r="B11" s="39" t="s">
        <v>193</v>
      </c>
      <c r="C11" s="69" t="s">
        <v>284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285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285</v>
      </c>
      <c r="D19" s="75"/>
    </row>
    <row r="20" spans="2:13" x14ac:dyDescent="0.35">
      <c r="B20" s="57" t="s">
        <v>201</v>
      </c>
      <c r="C20" s="126" t="s">
        <v>285</v>
      </c>
      <c r="D20" s="75"/>
    </row>
    <row r="21" spans="2:13" x14ac:dyDescent="0.35">
      <c r="B21" s="2" t="s">
        <v>204</v>
      </c>
      <c r="C21" s="126" t="s">
        <v>286</v>
      </c>
      <c r="D21" s="75"/>
    </row>
    <row r="22" spans="2:13" ht="69.75" x14ac:dyDescent="0.35">
      <c r="B22" s="59" t="s">
        <v>203</v>
      </c>
      <c r="C22" s="127" t="s">
        <v>287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11868490425.190001</v>
      </c>
      <c r="D25" s="80">
        <v>10930302487.299999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7386835892.0799999</v>
      </c>
      <c r="D26" s="82">
        <v>6956163862.6700001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3020689977.3999996</v>
      </c>
      <c r="D27" s="82">
        <v>2613446855.2799997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>
        <v>19979888.16</v>
      </c>
      <c r="D28" s="82">
        <v>14166706.34</v>
      </c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17875456.73</v>
      </c>
      <c r="D29" s="82">
        <v>20978186.489999998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49204300.670000002</v>
      </c>
      <c r="D30" s="82">
        <v>-5437935.0599999996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0.4+0.19</f>
        <v>0.59000000000000008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5.3738308075356171E-2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279</v>
      </c>
      <c r="C86" s="84">
        <v>5</v>
      </c>
      <c r="D86" s="305"/>
    </row>
    <row r="87" spans="2:8" x14ac:dyDescent="0.35">
      <c r="B87" s="88" t="s">
        <v>219</v>
      </c>
      <c r="C87" s="112" t="s">
        <v>288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11868490425.190001</v>
      </c>
      <c r="D91" s="103"/>
      <c r="E91" s="104">
        <f>C91</f>
        <v>11868490425.190001</v>
      </c>
      <c r="F91" s="104">
        <f>C91</f>
        <v>11868490425.190001</v>
      </c>
    </row>
    <row r="92" spans="2:8" x14ac:dyDescent="0.35">
      <c r="B92" s="105" t="s">
        <v>97</v>
      </c>
      <c r="C92" s="102">
        <f>C26</f>
        <v>7386835892.0799999</v>
      </c>
      <c r="D92" s="106">
        <f>C92/C91</f>
        <v>0.6223905170283478</v>
      </c>
      <c r="E92" s="107">
        <f>E91*D92</f>
        <v>7386835892.0799999</v>
      </c>
      <c r="F92" s="107">
        <f>F91*D92</f>
        <v>7386835892.0799999</v>
      </c>
    </row>
    <row r="93" spans="2:8" x14ac:dyDescent="0.35">
      <c r="B93" s="105" t="s">
        <v>218</v>
      </c>
      <c r="C93" s="102">
        <f>C27+C28</f>
        <v>3040669865.5599995</v>
      </c>
      <c r="D93" s="106">
        <f>C93/C91</f>
        <v>0.25619685036829964</v>
      </c>
      <c r="E93" s="107">
        <f>E91*D93</f>
        <v>3040669865.5599995</v>
      </c>
      <c r="F93" s="107">
        <f>F91*D93</f>
        <v>3040669865.5599995</v>
      </c>
    </row>
    <row r="94" spans="2:8" x14ac:dyDescent="0.35">
      <c r="B94" s="105" t="s">
        <v>224</v>
      </c>
      <c r="C94" s="102">
        <f>C29</f>
        <v>17875456.73</v>
      </c>
      <c r="D94" s="106">
        <f>C94/C91</f>
        <v>1.5061272402478966E-3</v>
      </c>
      <c r="E94" s="108"/>
      <c r="F94" s="107">
        <f>F91*D94</f>
        <v>17875456.73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65605734.226666667</v>
      </c>
      <c r="D97" s="106">
        <f>C97/C91</f>
        <v>5.5277235668845723E-3</v>
      </c>
      <c r="E97" s="108"/>
      <c r="F97" s="107">
        <f>F91*D97</f>
        <v>65605734.226666667</v>
      </c>
    </row>
    <row r="98" spans="2:6" x14ac:dyDescent="0.35">
      <c r="B98" s="8" t="s">
        <v>182</v>
      </c>
      <c r="C98" s="109">
        <f>C44</f>
        <v>0.59000000000000008</v>
      </c>
      <c r="D98" s="110"/>
      <c r="E98" s="111">
        <f>F98</f>
        <v>0.59000000000000008</v>
      </c>
      <c r="F98" s="111">
        <f>C98</f>
        <v>0.59000000000000008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0811.HK : 新华文轩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169</v>
      </c>
      <c r="C3" s="316" t="str">
        <f>Inputs!C4</f>
        <v>0811.HK</v>
      </c>
      <c r="D3" s="317"/>
      <c r="E3" s="3"/>
      <c r="F3" s="9" t="s">
        <v>1</v>
      </c>
      <c r="G3" s="10">
        <v>11.68</v>
      </c>
      <c r="H3" s="11" t="s">
        <v>259</v>
      </c>
    </row>
    <row r="4" spans="1:10" ht="15.75" customHeight="1" x14ac:dyDescent="0.35">
      <c r="B4" s="12" t="s">
        <v>170</v>
      </c>
      <c r="C4" s="311" t="str">
        <f>Inputs!C5</f>
        <v>新华文轩</v>
      </c>
      <c r="D4" s="318"/>
      <c r="E4" s="3"/>
      <c r="F4" s="9" t="s">
        <v>2</v>
      </c>
      <c r="G4" s="321">
        <f>Inputs!C10</f>
        <v>1233841000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45604</v>
      </c>
      <c r="D5" s="320"/>
      <c r="E5" s="16"/>
      <c r="F5" s="12" t="s">
        <v>91</v>
      </c>
      <c r="G5" s="314">
        <f>G3*G4/1000000</f>
        <v>14411.26288</v>
      </c>
      <c r="H5" s="314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C0012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0.11588490903646796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1.5061272402478966E-3</v>
      </c>
      <c r="F24" s="39" t="s">
        <v>226</v>
      </c>
      <c r="G24" s="43">
        <f>G3/(Fin_Analysis!H86*G7)</f>
        <v>13.305310273783428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0.71500486253077544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5.3738308075356171E-2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2" t="s">
        <v>225</v>
      </c>
      <c r="H28" s="312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5.6959350073671242</v>
      </c>
      <c r="D29" s="54">
        <f>G29*(1+G20)</f>
        <v>10.524689340026717</v>
      </c>
      <c r="E29" s="3"/>
      <c r="F29" s="55">
        <f>IF(Fin_Analysis!C108="Profit",Fin_Analysis!F100,IF(Fin_Analysis!C108="Dividend",Fin_Analysis!F103,Fin_Analysis!F106))</f>
        <v>6.701100008667205</v>
      </c>
      <c r="G29" s="313">
        <f>IF(Fin_Analysis!C108="Profit",Fin_Analysis!I100,IF(Fin_Analysis!C108="Dividend",Fin_Analysis!I103,Fin_Analysis!I106))</f>
        <v>9.1519037739362759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1375378933.3233342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11868490425.190001</v>
      </c>
      <c r="D6" s="147">
        <f>IF(Inputs!D25="","",Inputs!D25)</f>
        <v>10930302487.299999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8.5833666449770085E-2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7386835892.0799999</v>
      </c>
      <c r="D8" s="149">
        <f>IF(Inputs!D26="","",Inputs!D26)</f>
        <v>6956163862.6700001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4481654533.1100006</v>
      </c>
      <c r="D9" s="279">
        <f t="shared" si="2"/>
        <v>3974138624.6299992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3020689977.3999996</v>
      </c>
      <c r="D10" s="149">
        <f>IF(Inputs!D27="","",Inputs!D27)</f>
        <v>2613446855.2799997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>
        <f>IF(Inputs!C28="","",Inputs!C28)</f>
        <v>19979888.16</v>
      </c>
      <c r="D11" s="149">
        <f>IF(Inputs!D28="","",Inputs!D28)</f>
        <v>14166706.34</v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65605734.226666667</v>
      </c>
      <c r="D12" s="149">
        <f>IF(Inputs!D30="","",MAX(Inputs!D30,0)/(1-Fin_Analysis!$I$84))</f>
        <v>0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0.11588490903646796</v>
      </c>
      <c r="D13" s="300">
        <f t="shared" si="3"/>
        <v>0.12319193037654147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1375378933.3233342</v>
      </c>
      <c r="D14" s="302">
        <f t="shared" ref="D14:M14" si="4">IF(D6="","",D9-D10-MAX(D11,0)-MAX(D12,0))</f>
        <v>1346525063.0099995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2.1428394543830654E-2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17875456.73</v>
      </c>
      <c r="D17" s="149">
        <f>IF(Inputs!D29="","",Inputs!D29)</f>
        <v>20978186.489999998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1357503476.5933342</v>
      </c>
      <c r="D22" s="283">
        <f t="shared" ref="D22:M22" si="8">IF(D6="","",D14-MAX(D16,0)-MAX(D17,0)-ABS(MAX(D21,0)-MAX(D19,0)))</f>
        <v>1325546876.5199995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8.5784086347165056E-2</v>
      </c>
      <c r="D23" s="148">
        <f t="shared" si="9"/>
        <v>9.0954496322962861E-2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1018127607.4450006</v>
      </c>
      <c r="D24" s="282">
        <f>IF(D6="","",D22*(1-Fin_Analysis!$I$84))</f>
        <v>994160157.38999963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2.4108238372701971E-2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0.6223905170283478</v>
      </c>
      <c r="D40" s="156">
        <f t="shared" si="34"/>
        <v>0.63641092007768485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0.25619685036829964</v>
      </c>
      <c r="D41" s="151">
        <f t="shared" si="35"/>
        <v>0.24039714954577368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1.5061272402478966E-3</v>
      </c>
      <c r="D43" s="151">
        <f t="shared" si="37"/>
        <v>1.9192686125909793E-3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5.5277235668845723E-3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0.11437878179622006</v>
      </c>
      <c r="D46" s="289">
        <f t="shared" si="40"/>
        <v>0.12127266176395049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1.316789020302077E-2</v>
      </c>
      <c r="D55" s="151">
        <f t="shared" si="47"/>
        <v>1.5826061576241422E-2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278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11868490425.190001</v>
      </c>
      <c r="D74" s="103"/>
      <c r="E74" s="262">
        <f>Inputs!E91</f>
        <v>11868490425.190001</v>
      </c>
      <c r="F74" s="103"/>
      <c r="H74" s="262">
        <f>Inputs!F91</f>
        <v>11868490425.190001</v>
      </c>
      <c r="I74" s="103"/>
      <c r="K74" s="75"/>
    </row>
    <row r="75" spans="1:11" ht="15" customHeight="1" x14ac:dyDescent="0.35">
      <c r="B75" s="105" t="s">
        <v>97</v>
      </c>
      <c r="C75" s="102">
        <f>Data!C8</f>
        <v>7386835892.0799999</v>
      </c>
      <c r="D75" s="106">
        <f>C75/$C$74</f>
        <v>0.6223905170283478</v>
      </c>
      <c r="E75" s="262">
        <f>Inputs!E92</f>
        <v>7386835892.0799999</v>
      </c>
      <c r="F75" s="217">
        <f>E75/E74</f>
        <v>0.6223905170283478</v>
      </c>
      <c r="H75" s="262">
        <f>Inputs!F92</f>
        <v>7386835892.0799999</v>
      </c>
      <c r="I75" s="217">
        <f>H75/$H$74</f>
        <v>0.6223905170283478</v>
      </c>
      <c r="K75" s="75"/>
    </row>
    <row r="76" spans="1:11" ht="15" customHeight="1" x14ac:dyDescent="0.35">
      <c r="B76" s="12" t="s">
        <v>87</v>
      </c>
      <c r="C76" s="150">
        <f>C74-C75</f>
        <v>4481654533.1100006</v>
      </c>
      <c r="D76" s="218"/>
      <c r="E76" s="219">
        <f>E74-E75</f>
        <v>4481654533.1100006</v>
      </c>
      <c r="F76" s="218"/>
      <c r="H76" s="219">
        <f>H74-H75</f>
        <v>4481654533.1100006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3040669865.5599995</v>
      </c>
      <c r="D77" s="106">
        <f>C77/$C$74</f>
        <v>0.25619685036829964</v>
      </c>
      <c r="E77" s="262">
        <f>Inputs!E93</f>
        <v>3040669865.5599995</v>
      </c>
      <c r="F77" s="217">
        <f>E77/E74</f>
        <v>0.25619685036829964</v>
      </c>
      <c r="H77" s="262">
        <f>Inputs!F93</f>
        <v>3040669865.5599995</v>
      </c>
      <c r="I77" s="217">
        <f>H77/$H$74</f>
        <v>0.25619685036829964</v>
      </c>
      <c r="K77" s="75"/>
    </row>
    <row r="78" spans="1:11" ht="15" customHeight="1" x14ac:dyDescent="0.35">
      <c r="B78" s="98" t="s">
        <v>152</v>
      </c>
      <c r="C78" s="102">
        <f>MAX(Data!C12,0)</f>
        <v>65605734.226666667</v>
      </c>
      <c r="D78" s="106">
        <f>C78/$C$74</f>
        <v>5.5277235668845723E-3</v>
      </c>
      <c r="E78" s="220">
        <f>E74*F78</f>
        <v>65605734.226666667</v>
      </c>
      <c r="F78" s="217">
        <f>I78</f>
        <v>5.5277235668845723E-3</v>
      </c>
      <c r="H78" s="262">
        <f>Inputs!F97</f>
        <v>65605734.226666667</v>
      </c>
      <c r="I78" s="217">
        <f>H78/$H$74</f>
        <v>5.5277235668845723E-3</v>
      </c>
      <c r="K78" s="75"/>
    </row>
    <row r="79" spans="1:11" ht="15" customHeight="1" x14ac:dyDescent="0.35">
      <c r="B79" s="221" t="s">
        <v>205</v>
      </c>
      <c r="C79" s="222">
        <f>C76-C77-C78</f>
        <v>1375378933.3233345</v>
      </c>
      <c r="D79" s="223">
        <f>C79/C74</f>
        <v>0.11588490903646799</v>
      </c>
      <c r="E79" s="224">
        <f>E76-E77-E78</f>
        <v>1375378933.3233345</v>
      </c>
      <c r="F79" s="223">
        <f>E79/E74</f>
        <v>0.11588490903646799</v>
      </c>
      <c r="G79" s="225"/>
      <c r="H79" s="224">
        <f>H76-H77-H78</f>
        <v>1375378933.3233345</v>
      </c>
      <c r="I79" s="223">
        <f>H79/H74</f>
        <v>0.11588490903646799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17875456.73</v>
      </c>
      <c r="D81" s="106">
        <f>C81/$C$74</f>
        <v>1.5061272402478966E-3</v>
      </c>
      <c r="E81" s="220">
        <f>E74*F81</f>
        <v>17875456.73</v>
      </c>
      <c r="F81" s="217">
        <f>I81</f>
        <v>1.5061272402478966E-3</v>
      </c>
      <c r="H81" s="262">
        <f>Inputs!F94</f>
        <v>17875456.73</v>
      </c>
      <c r="I81" s="217">
        <f>H81/$H$74</f>
        <v>1.5061272402478966E-3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1357503476.5933344</v>
      </c>
      <c r="D83" s="229">
        <f>C83/$C$74</f>
        <v>0.11437878179622009</v>
      </c>
      <c r="E83" s="230">
        <f>E79-E81-E82-E80</f>
        <v>1357503476.5933344</v>
      </c>
      <c r="F83" s="229">
        <f>E83/E74</f>
        <v>0.11437878179622009</v>
      </c>
      <c r="H83" s="230">
        <f>H79-H81-H82-H80</f>
        <v>1357503476.5933344</v>
      </c>
      <c r="I83" s="229">
        <f>H83/$H$74</f>
        <v>0.11437878179622009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1018127607.4450009</v>
      </c>
      <c r="D85" s="223">
        <f>C85/$C$74</f>
        <v>8.578408634716507E-2</v>
      </c>
      <c r="E85" s="235">
        <f>E83*(1-F84)</f>
        <v>1018127607.4450009</v>
      </c>
      <c r="F85" s="223">
        <f>E85/E74</f>
        <v>8.578408634716507E-2</v>
      </c>
      <c r="G85" s="225"/>
      <c r="H85" s="235">
        <f>H83*(1-I84)</f>
        <v>1018127607.4450009</v>
      </c>
      <c r="I85" s="223">
        <f>H85/$H$74</f>
        <v>8.578408634716507E-2</v>
      </c>
      <c r="K85" s="75"/>
    </row>
    <row r="86" spans="1:11" ht="15" customHeight="1" x14ac:dyDescent="0.35">
      <c r="B86" s="3" t="s">
        <v>145</v>
      </c>
      <c r="C86" s="236">
        <f>C85*Data!C4/Common_Shares</f>
        <v>0.82516921341161531</v>
      </c>
      <c r="D86" s="103"/>
      <c r="E86" s="237">
        <f>E85*Data!C4/Common_Shares</f>
        <v>0.82516921341161531</v>
      </c>
      <c r="F86" s="103"/>
      <c r="H86" s="237">
        <f>H85*Data!C4/Common_Shares</f>
        <v>0.82516921341161531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7.5157961702733381E-2</v>
      </c>
      <c r="D87" s="103"/>
      <c r="E87" s="239">
        <f>E86*Exchange_Rate/Dashboard!G3</f>
        <v>7.5157961702733381E-2</v>
      </c>
      <c r="F87" s="103"/>
      <c r="H87" s="239">
        <f>H86*Exchange_Rate/Dashboard!G3</f>
        <v>7.5157961702733381E-2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0.59000000000000008</v>
      </c>
      <c r="D88" s="241">
        <f>C88/C86</f>
        <v>0.71500486253077544</v>
      </c>
      <c r="E88" s="261">
        <f>Inputs!E98</f>
        <v>0.59000000000000008</v>
      </c>
      <c r="F88" s="241">
        <f>E88/E86</f>
        <v>0.71500486253077544</v>
      </c>
      <c r="H88" s="261">
        <f>Inputs!F98</f>
        <v>0.59000000000000008</v>
      </c>
      <c r="I88" s="241">
        <f>H88/H86</f>
        <v>0.71500486253077544</v>
      </c>
      <c r="K88" s="75"/>
    </row>
    <row r="89" spans="1:11" ht="15" customHeight="1" x14ac:dyDescent="0.35">
      <c r="B89" s="3" t="s">
        <v>195</v>
      </c>
      <c r="C89" s="238">
        <f>C88*Exchange_Rate/Dashboard!G3</f>
        <v>5.3738308075356171E-2</v>
      </c>
      <c r="D89" s="103"/>
      <c r="E89" s="238">
        <f>E88*Exchange_Rate/Dashboard!G3</f>
        <v>5.3738308075356171E-2</v>
      </c>
      <c r="F89" s="103"/>
      <c r="H89" s="238">
        <f>H88*Exchange_Rate/Dashboard!G3</f>
        <v>5.3738308075356171E-2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5</v>
      </c>
      <c r="E93" s="3" t="s">
        <v>184</v>
      </c>
      <c r="F93" s="243">
        <f>FV(E87,D93,0,-(E86/(C93-D94)))*Exchange_Rate</f>
        <v>20.846053017697084</v>
      </c>
      <c r="H93" s="3" t="s">
        <v>184</v>
      </c>
      <c r="I93" s="243">
        <f>FV(H87,D93,0,-(H86/(C93-D94)))*Exchange_Rate</f>
        <v>20.846053017697084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13.47830566658909</v>
      </c>
      <c r="H94" s="3" t="s">
        <v>185</v>
      </c>
      <c r="I94" s="243">
        <f>FV(H89,D93,0,-(H88/(C93-D94)))*Exchange_Rate</f>
        <v>13.47830566658909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12787741064.220297</v>
      </c>
      <c r="D97" s="250"/>
      <c r="E97" s="251">
        <f>PV(C94,D93,0,-F93)</f>
        <v>10.364172583193699</v>
      </c>
      <c r="F97" s="250"/>
      <c r="H97" s="251">
        <f>PV(C94,D93,0,-I93)</f>
        <v>10.364172583193699</v>
      </c>
      <c r="I97" s="251">
        <f>PV(C93,D93,0,-I93)</f>
        <v>14.154677598480223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8.8095466957146442</v>
      </c>
      <c r="E100" s="257">
        <f>MAX(E97+H98+E99,0)</f>
        <v>10.364172583193699</v>
      </c>
      <c r="F100" s="257">
        <f>(E100+H100)/2</f>
        <v>10.364172583193699</v>
      </c>
      <c r="H100" s="257">
        <f>MAX(H97+H98+H99,0)</f>
        <v>10.364172583193699</v>
      </c>
      <c r="I100" s="257">
        <f>MAX(I97+H98+H99,0)</f>
        <v>14.154677598480223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5.6959350073671242</v>
      </c>
      <c r="E103" s="251">
        <f>PV(C94,D93,0,-F94)</f>
        <v>6.701100008667205</v>
      </c>
      <c r="F103" s="257">
        <f>(E103+H103)/2</f>
        <v>6.701100008667205</v>
      </c>
      <c r="H103" s="251">
        <f>PV(C94,D93,0,-I94)</f>
        <v>6.701100008667205</v>
      </c>
      <c r="I103" s="257">
        <f>PV(C93,D93,0,-I94)</f>
        <v>9.1519037739362759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7.2527408515408842</v>
      </c>
      <c r="E106" s="251">
        <f>(E100+E103)/2</f>
        <v>8.5326362959304518</v>
      </c>
      <c r="F106" s="257">
        <f>(F100+F103)/2</f>
        <v>8.5326362959304518</v>
      </c>
      <c r="H106" s="251">
        <f>(H100+H103)/2</f>
        <v>8.5326362959304518</v>
      </c>
      <c r="I106" s="251">
        <f>(I100+I103)/2</f>
        <v>11.653290686208249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45604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